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025" activeTab="1"/>
  </bookViews>
  <sheets>
    <sheet name="Instructions" sheetId="1" r:id="rId1"/>
    <sheet name="Single Unit" sheetId="2" r:id="rId2"/>
    <sheet name="Multiple Units" sheetId="3" r:id="rId3"/>
    <sheet name="Lists" sheetId="4" r:id="rId4"/>
    <sheet name="Max_Charge_Calc" sheetId="5" r:id="rId5"/>
    <sheet name="Max_Charge_Table" sheetId="6" r:id="rId6"/>
  </sheets>
  <definedNames>
    <definedName name="EquipType">'Lists'!$A$2:$A$11</definedName>
    <definedName name="_xlnm.Print_Area" localSheetId="0">'Instructions'!$A$1:$A$38</definedName>
    <definedName name="Refrigerants">'Lists'!$A$15:$A$34</definedName>
  </definedNames>
  <calcPr fullCalcOnLoad="1"/>
</workbook>
</file>

<file path=xl/comments2.xml><?xml version="1.0" encoding="utf-8"?>
<comments xmlns="http://schemas.openxmlformats.org/spreadsheetml/2006/main">
  <authors>
    <author>Mick Schwedler</author>
  </authors>
  <commentList>
    <comment ref="A8" authorId="0">
      <text>
        <r>
          <rPr>
            <b/>
            <sz val="8"/>
            <rFont val="Tahoma"/>
            <family val="2"/>
          </rPr>
          <t>Capacity is a number. 
Using the space bar will generate an error.
Please enter 0</t>
        </r>
      </text>
    </comment>
    <comment ref="B8" authorId="0">
      <text>
        <r>
          <rPr>
            <b/>
            <sz val="8"/>
            <rFont val="Tahoma"/>
            <family val="2"/>
          </rPr>
          <t>Capacity is a number. 
Using the space bar will generate an error.
Please enter 0</t>
        </r>
      </text>
    </comment>
    <comment ref="A9" authorId="0">
      <text>
        <r>
          <rPr>
            <b/>
            <sz val="8"/>
            <rFont val="Tahoma"/>
            <family val="2"/>
          </rPr>
          <t>Refrigerant charge is a number. 
Using the space bar will generate an error.
Please enter 0</t>
        </r>
      </text>
    </comment>
    <comment ref="B9" authorId="0">
      <text>
        <r>
          <rPr>
            <b/>
            <sz val="8"/>
            <rFont val="Tahoma"/>
            <family val="2"/>
          </rPr>
          <t>Refrigerant charge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comments3.xml><?xml version="1.0" encoding="utf-8"?>
<comments xmlns="http://schemas.openxmlformats.org/spreadsheetml/2006/main">
  <authors>
    <author>Mick Schwedler</author>
  </authors>
  <commentList>
    <comment ref="A9" authorId="0">
      <text>
        <r>
          <rPr>
            <b/>
            <sz val="8"/>
            <rFont val="Tahoma"/>
            <family val="2"/>
          </rPr>
          <t>Refrigerant charge is a number. 
Using the space bar will generate an error.
Please enter 0</t>
        </r>
      </text>
    </comment>
    <comment ref="B9" authorId="0">
      <text>
        <r>
          <rPr>
            <b/>
            <sz val="8"/>
            <rFont val="Tahoma"/>
            <family val="2"/>
          </rPr>
          <t>Refrigerant charge is a number. 
Using the space bar will generate an error.
Please enter 0</t>
        </r>
      </text>
    </comment>
    <comment ref="C9" authorId="0">
      <text>
        <r>
          <rPr>
            <b/>
            <sz val="8"/>
            <rFont val="Tahoma"/>
            <family val="2"/>
          </rPr>
          <t>Refrigerant charge is a number. 
Using the space bar will generate an error.
Please enter 0</t>
        </r>
      </text>
    </comment>
    <comment ref="D9" authorId="0">
      <text>
        <r>
          <rPr>
            <b/>
            <sz val="8"/>
            <rFont val="Tahoma"/>
            <family val="2"/>
          </rPr>
          <t>Refrigerant charge is a number. 
Using the space bar will generate an error.
Please enter 0</t>
        </r>
      </text>
    </comment>
    <comment ref="E9" authorId="0">
      <text>
        <r>
          <rPr>
            <b/>
            <sz val="8"/>
            <rFont val="Tahoma"/>
            <family val="2"/>
          </rPr>
          <t>Refrigerant charge is a number. 
Using the space bar will generate an error.
Please enter 0</t>
        </r>
      </text>
    </comment>
    <comment ref="F9" authorId="0">
      <text>
        <r>
          <rPr>
            <b/>
            <sz val="8"/>
            <rFont val="Tahoma"/>
            <family val="2"/>
          </rPr>
          <t>Refrigerant charge is a number. 
Using the space bar will generate an error.
Please enter 0</t>
        </r>
      </text>
    </comment>
    <comment ref="G9" authorId="0">
      <text>
        <r>
          <rPr>
            <b/>
            <sz val="8"/>
            <rFont val="Tahoma"/>
            <family val="2"/>
          </rPr>
          <t>Refrigerant charge is a number. 
Using the space bar will generate an error.
Please enter 0</t>
        </r>
      </text>
    </comment>
    <comment ref="A8" authorId="0">
      <text>
        <r>
          <rPr>
            <b/>
            <sz val="8"/>
            <rFont val="Tahoma"/>
            <family val="2"/>
          </rPr>
          <t>Capacity is a number. 
Using the space bar will generate an error.
Please enter 0</t>
        </r>
      </text>
    </comment>
    <comment ref="B8" authorId="0">
      <text>
        <r>
          <rPr>
            <b/>
            <sz val="8"/>
            <rFont val="Tahoma"/>
            <family val="2"/>
          </rPr>
          <t>Capacity is a number. 
Using the space bar will generate an error.
Please enter 0</t>
        </r>
      </text>
    </comment>
    <comment ref="C8" authorId="0">
      <text>
        <r>
          <rPr>
            <b/>
            <sz val="8"/>
            <rFont val="Tahoma"/>
            <family val="2"/>
          </rPr>
          <t>Capacity is a number. 
Using the space bar will generate an error.
Please enter 0</t>
        </r>
      </text>
    </comment>
    <comment ref="D8" authorId="0">
      <text>
        <r>
          <rPr>
            <b/>
            <sz val="8"/>
            <rFont val="Tahoma"/>
            <family val="2"/>
          </rPr>
          <t>Capacity is a number. 
Using the space bar will generate an error.
Please enter 0</t>
        </r>
      </text>
    </comment>
    <comment ref="E8" authorId="0">
      <text>
        <r>
          <rPr>
            <b/>
            <sz val="8"/>
            <rFont val="Tahoma"/>
            <family val="2"/>
          </rPr>
          <t>Capacity is a number. 
Using the space bar will generate an error.
Please enter 0</t>
        </r>
      </text>
    </comment>
    <comment ref="F8" authorId="0">
      <text>
        <r>
          <rPr>
            <b/>
            <sz val="8"/>
            <rFont val="Tahoma"/>
            <family val="2"/>
          </rPr>
          <t>Capacity is a number. 
Using the space bar will generate an error.
Please enter 0</t>
        </r>
      </text>
    </comment>
    <comment ref="G8" authorId="0">
      <text>
        <r>
          <rPr>
            <b/>
            <sz val="8"/>
            <rFont val="Tahoma"/>
            <family val="2"/>
          </rPr>
          <t>Capacity is a number. 
Using the space bar will generate an error.
Please enter 0</t>
        </r>
      </text>
    </comment>
    <comment ref="A12"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comments5.xml><?xml version="1.0" encoding="utf-8"?>
<comments xmlns="http://schemas.openxmlformats.org/spreadsheetml/2006/main">
  <authors>
    <author>Mick Schwedler</author>
  </authors>
  <commentList>
    <comment ref="A8" authorId="0">
      <text>
        <r>
          <rPr>
            <b/>
            <sz val="8"/>
            <rFont val="Tahoma"/>
            <family val="2"/>
          </rPr>
          <t>Capacity is a number. 
Using the space bar will generate an error.
Please enter 0</t>
        </r>
      </text>
    </comment>
    <comment ref="B8" authorId="0">
      <text>
        <r>
          <rPr>
            <b/>
            <sz val="8"/>
            <rFont val="Tahoma"/>
            <family val="2"/>
          </rPr>
          <t>Capacity is a number. 
Using the space bar will generate an error.
Please enter 0</t>
        </r>
      </text>
    </comment>
    <comment ref="A9" authorId="0">
      <text>
        <r>
          <rPr>
            <b/>
            <sz val="8"/>
            <rFont val="Tahoma"/>
            <family val="2"/>
          </rPr>
          <t>Refrigerant charge is a number. 
Using the space bar will generate an error.
Please enter 0</t>
        </r>
      </text>
    </comment>
    <comment ref="B9" authorId="0">
      <text>
        <r>
          <rPr>
            <b/>
            <sz val="8"/>
            <rFont val="Tahoma"/>
            <family val="2"/>
          </rPr>
          <t>Refrigerant charge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sharedStrings.xml><?xml version="1.0" encoding="utf-8"?>
<sst xmlns="http://schemas.openxmlformats.org/spreadsheetml/2006/main" count="267" uniqueCount="117">
  <si>
    <t>Date and time of calculation</t>
  </si>
  <si>
    <t>R-22</t>
  </si>
  <si>
    <t>R-123</t>
  </si>
  <si>
    <t>R-134a</t>
  </si>
  <si>
    <t>R-245fa</t>
  </si>
  <si>
    <t>Qtotal</t>
  </si>
  <si>
    <t>Credit?</t>
  </si>
  <si>
    <t>Date</t>
  </si>
  <si>
    <t xml:space="preserve"> </t>
  </si>
  <si>
    <t>Job name</t>
  </si>
  <si>
    <t>Job location</t>
  </si>
  <si>
    <t>Weighted calculation</t>
  </si>
  <si>
    <t>Unit tag(s)</t>
  </si>
  <si>
    <t>Capacity, tons (Qunit)</t>
  </si>
  <si>
    <t>Leak rate, % of charge per year (Lr)</t>
  </si>
  <si>
    <t>End-of-life refrigerant loss, % of charge (Mr)</t>
  </si>
  <si>
    <t>Refrigerant charge, lb</t>
  </si>
  <si>
    <t>Refrigerant charge, lb/ton (Rc)</t>
  </si>
  <si>
    <t>Equipment life (Life)</t>
  </si>
  <si>
    <t>Global warming potential of refrigerant (GWPr)</t>
  </si>
  <si>
    <t>Ozone depletion potential of refrigerant (ODPr)</t>
  </si>
  <si>
    <t>Life-cycle direct global warming potential (LCGWP)</t>
  </si>
  <si>
    <t>Life-cycle ozone depletion potential (LCODP)</t>
  </si>
  <si>
    <t>TSAC factor × capacity</t>
  </si>
  <si>
    <t>Trane, in providing this calculation tool, assumes no responsibility for the performance or desirability of any resulting system design. Design of the HVAC system is the prerogative and responsibility of the engineering professional.</t>
  </si>
  <si>
    <t>Total capacity, tons</t>
  </si>
  <si>
    <t>CALCULATIONS</t>
  </si>
  <si>
    <t>Defaults used:</t>
  </si>
  <si>
    <t>LCGWP + 100,000 × LCODP</t>
  </si>
  <si>
    <t>Entered values:</t>
  </si>
  <si>
    <t>Refrigerant type</t>
  </si>
  <si>
    <t>Result:</t>
  </si>
  <si>
    <t>RESULT</t>
  </si>
  <si>
    <t>If only one type of refrigerant is used, the HVAC&amp;R systems</t>
  </si>
  <si>
    <t>OR</t>
  </si>
  <si>
    <t>If multiple refrigerant types are used, the HVAC&amp;R systems</t>
  </si>
  <si>
    <t xml:space="preserve">Using the appropriate equation, the final calculation equals </t>
  </si>
  <si>
    <t>REMARKS</t>
  </si>
  <si>
    <t>Purpose</t>
  </si>
  <si>
    <t>How to use the calculator</t>
  </si>
  <si>
    <r>
      <t>2.</t>
    </r>
    <r>
      <rPr>
        <sz val="10"/>
        <rFont val="Verdana"/>
        <family val="2"/>
      </rPr>
      <t xml:space="preserve"> Type the job name in cell </t>
    </r>
    <r>
      <rPr>
        <b/>
        <sz val="10"/>
        <rFont val="Verdana"/>
        <family val="2"/>
      </rPr>
      <t>B2</t>
    </r>
    <r>
      <rPr>
        <sz val="10"/>
        <rFont val="Verdana"/>
        <family val="2"/>
      </rPr>
      <t>.</t>
    </r>
  </si>
  <si>
    <r>
      <t>3.</t>
    </r>
    <r>
      <rPr>
        <sz val="10"/>
        <rFont val="Verdana"/>
        <family val="2"/>
      </rPr>
      <t xml:space="preserve"> Type the location of the job in cell </t>
    </r>
    <r>
      <rPr>
        <b/>
        <sz val="10"/>
        <rFont val="Verdana"/>
        <family val="2"/>
      </rPr>
      <t>B3</t>
    </r>
    <r>
      <rPr>
        <sz val="10"/>
        <rFont val="Verdana"/>
        <family val="2"/>
      </rPr>
      <t>.</t>
    </r>
  </si>
  <si>
    <t>All</t>
  </si>
  <si>
    <t>TSAC  factor</t>
  </si>
  <si>
    <t>Reciprocating chiller</t>
  </si>
  <si>
    <t>Screw chiller</t>
  </si>
  <si>
    <t>Absorption chiller</t>
  </si>
  <si>
    <t>Centrifugal chiller</t>
  </si>
  <si>
    <t>Window AC or HP</t>
  </si>
  <si>
    <t>Unitary AC or HP</t>
  </si>
  <si>
    <t>Packaged AC or HP</t>
  </si>
  <si>
    <t>10% End-of-life loss of charge (Mr)</t>
  </si>
  <si>
    <t>R-410a</t>
  </si>
  <si>
    <t>R-407c</t>
  </si>
  <si>
    <t>GWPr</t>
  </si>
  <si>
    <t>ODPr</t>
  </si>
  <si>
    <t>Life</t>
  </si>
  <si>
    <t>Calculation</t>
  </si>
  <si>
    <t>Ammonia</t>
  </si>
  <si>
    <t>Propane</t>
  </si>
  <si>
    <t>Water</t>
  </si>
  <si>
    <r>
      <t xml:space="preserve">The report is automatically stamped with the date and time of the last calculation (cell </t>
    </r>
    <r>
      <rPr>
        <b/>
        <sz val="10"/>
        <rFont val="Verdana"/>
        <family val="2"/>
      </rPr>
      <t>B46</t>
    </r>
    <r>
      <rPr>
        <sz val="10"/>
        <rFont val="Verdana"/>
        <family val="2"/>
      </rPr>
      <t>).</t>
    </r>
  </si>
  <si>
    <t xml:space="preserve">NOTE: You may only enter values in turquoise-colored cells. All other entries either are calculated automatically or are fixed values. </t>
  </si>
  <si>
    <r>
      <t xml:space="preserve">This calculation tool automatically solves the equations described in the USGBC document, </t>
    </r>
    <r>
      <rPr>
        <i/>
        <sz val="10"/>
        <rFont val="Verdana"/>
        <family val="2"/>
      </rPr>
      <t>LEED for New Construction Version 2.2.</t>
    </r>
    <r>
      <rPr>
        <sz val="10"/>
        <rFont val="Verdana"/>
        <family val="2"/>
      </rPr>
      <t xml:space="preserve"> Use it to quickly determine whether the HVAC equipment-and-refrigerant combinations in a prospective LEED-NC project comply with the requirements of Energy &amp; Atmosphere Credit 4.</t>
    </r>
  </si>
  <si>
    <r>
      <t>7.</t>
    </r>
    <r>
      <rPr>
        <sz val="10"/>
        <rFont val="Verdana"/>
        <family val="2"/>
      </rPr>
      <t xml:space="preserve"> For each refrigerant type and equipment type, enter the HVAC mechanical cooling capacity in cell(s) </t>
    </r>
    <r>
      <rPr>
        <b/>
        <sz val="10"/>
        <rFont val="Verdana"/>
        <family val="2"/>
      </rPr>
      <t>B8</t>
    </r>
    <r>
      <rPr>
        <sz val="10"/>
        <rFont val="Verdana"/>
        <family val="2"/>
      </rPr>
      <t xml:space="preserve"> through </t>
    </r>
    <r>
      <rPr>
        <b/>
        <sz val="10"/>
        <rFont val="Verdana"/>
        <family val="2"/>
      </rPr>
      <t>G8</t>
    </r>
    <r>
      <rPr>
        <sz val="10"/>
        <rFont val="Verdana"/>
        <family val="2"/>
      </rPr>
      <t>. If multiple units use the same refrigerant type, enter the sum of their capacities.</t>
    </r>
  </si>
  <si>
    <r>
      <t xml:space="preserve">1. </t>
    </r>
    <r>
      <rPr>
        <sz val="10"/>
        <rFont val="Verdana"/>
        <family val="2"/>
      </rPr>
      <t xml:space="preserve">Choose a worksheet by clicking the appropriate tab at the bottom of the Excel window. Pick the </t>
    </r>
    <r>
      <rPr>
        <i/>
        <sz val="10"/>
        <rFont val="Verdana"/>
        <family val="2"/>
      </rPr>
      <t xml:space="preserve">Single Unit </t>
    </r>
    <r>
      <rPr>
        <sz val="10"/>
        <rFont val="Verdana"/>
        <family val="2"/>
      </rPr>
      <t xml:space="preserve">worksheet to provide information for a single piece of equipment. Or, pick the </t>
    </r>
    <r>
      <rPr>
        <i/>
        <sz val="10"/>
        <rFont val="Verdana"/>
        <family val="2"/>
      </rPr>
      <t xml:space="preserve">Multiple Units </t>
    </r>
    <r>
      <rPr>
        <sz val="10"/>
        <rFont val="Verdana"/>
        <family val="2"/>
      </rPr>
      <t>worksheet to describe a project with different types of equipment and/or refrigerant.</t>
    </r>
  </si>
  <si>
    <r>
      <t>4.</t>
    </r>
    <r>
      <rPr>
        <sz val="10"/>
        <rFont val="Verdana"/>
        <family val="2"/>
      </rPr>
      <t xml:space="preserve"> </t>
    </r>
    <r>
      <rPr>
        <i/>
        <sz val="10"/>
        <rFont val="Verdana"/>
        <family val="2"/>
      </rPr>
      <t>OPTIONAL:</t>
    </r>
    <r>
      <rPr>
        <sz val="10"/>
        <rFont val="Verdana"/>
        <family val="2"/>
      </rPr>
      <t xml:space="preserve"> Enter the appropriate unit tag(s) from the equipment schedule in cell(s) </t>
    </r>
    <r>
      <rPr>
        <b/>
        <sz val="10"/>
        <rFont val="Verdana"/>
        <family val="2"/>
      </rPr>
      <t>B5</t>
    </r>
    <r>
      <rPr>
        <sz val="10"/>
        <rFont val="Verdana"/>
        <family val="2"/>
      </rPr>
      <t xml:space="preserve"> </t>
    </r>
    <r>
      <rPr>
        <sz val="10"/>
        <rFont val="Verdana"/>
        <family val="2"/>
      </rPr>
      <t xml:space="preserve">through </t>
    </r>
    <r>
      <rPr>
        <b/>
        <sz val="10"/>
        <rFont val="Verdana"/>
        <family val="2"/>
      </rPr>
      <t>G5</t>
    </r>
    <r>
      <rPr>
        <sz val="10"/>
        <rFont val="Verdana"/>
        <family val="2"/>
      </rPr>
      <t>.</t>
    </r>
  </si>
  <si>
    <r>
      <t>8.</t>
    </r>
    <r>
      <rPr>
        <sz val="10"/>
        <rFont val="Verdana"/>
        <family val="2"/>
      </rPr>
      <t xml:space="preserve"> For each refrigerant type/equipment type combination, enter the HVAC refrigerant charge, in pounds, in cell(s) </t>
    </r>
    <r>
      <rPr>
        <b/>
        <sz val="10"/>
        <rFont val="Verdana"/>
        <family val="2"/>
      </rPr>
      <t>B9</t>
    </r>
    <r>
      <rPr>
        <sz val="10"/>
        <rFont val="Verdana"/>
        <family val="2"/>
      </rPr>
      <t xml:space="preserve"> through </t>
    </r>
    <r>
      <rPr>
        <b/>
        <sz val="10"/>
        <rFont val="Verdana"/>
        <family val="2"/>
      </rPr>
      <t>G9</t>
    </r>
    <r>
      <rPr>
        <sz val="10"/>
        <rFont val="Verdana"/>
        <family val="2"/>
      </rPr>
      <t xml:space="preserve">. If multiple units of the same equipment type use the same refrigerant type, enter the sum of their refrigerant charges in pounds. </t>
    </r>
  </si>
  <si>
    <t>Equipment type</t>
  </si>
  <si>
    <t>Carbon dioxide</t>
  </si>
  <si>
    <t>Split-system AC or HP</t>
  </si>
  <si>
    <t>Equipment life varies by equipment type</t>
  </si>
  <si>
    <t>R-404A</t>
  </si>
  <si>
    <t>R-507A</t>
  </si>
  <si>
    <t>Ann Lk %</t>
  </si>
  <si>
    <t>EOL Loss %</t>
  </si>
  <si>
    <t>Scroll chiller</t>
  </si>
  <si>
    <t>Quantity of identical units</t>
  </si>
  <si>
    <t>R-434A</t>
  </si>
  <si>
    <t>LEED Energy and Atmosphere Credit Submittal</t>
  </si>
  <si>
    <t>2% Leakage rate per year (Lr) (except as explicitly doucmented &amp; allowed by USGBC)</t>
  </si>
  <si>
    <r>
      <t xml:space="preserve">The project does not quality for this credit if the value in cell </t>
    </r>
    <r>
      <rPr>
        <b/>
        <sz val="10"/>
        <rFont val="Verdana"/>
        <family val="2"/>
      </rPr>
      <t>H22</t>
    </r>
    <r>
      <rPr>
        <sz val="10"/>
        <rFont val="Verdana"/>
        <family val="2"/>
      </rPr>
      <t xml:space="preserve"> (</t>
    </r>
    <r>
      <rPr>
        <i/>
        <sz val="10"/>
        <rFont val="Verdana"/>
        <family val="2"/>
      </rPr>
      <t>Multiple Unit</t>
    </r>
    <r>
      <rPr>
        <sz val="10"/>
        <rFont val="Verdana"/>
        <family val="2"/>
      </rPr>
      <t xml:space="preserve"> worksheet) or </t>
    </r>
    <r>
      <rPr>
        <b/>
        <sz val="10"/>
        <rFont val="Verdana"/>
        <family val="2"/>
      </rPr>
      <t>C21</t>
    </r>
    <r>
      <rPr>
        <sz val="10"/>
        <rFont val="Verdana"/>
        <family val="2"/>
      </rPr>
      <t xml:space="preserve"> (</t>
    </r>
    <r>
      <rPr>
        <i/>
        <sz val="10"/>
        <rFont val="Verdana"/>
        <family val="2"/>
      </rPr>
      <t>Single Unit</t>
    </r>
    <r>
      <rPr>
        <sz val="10"/>
        <rFont val="Verdana"/>
        <family val="2"/>
      </rPr>
      <t xml:space="preserve"> worksheet) is greater than 100 </t>
    </r>
    <r>
      <rPr>
        <u val="single"/>
        <sz val="10"/>
        <rFont val="Verdana"/>
        <family val="2"/>
      </rPr>
      <t>and</t>
    </r>
    <r>
      <rPr>
        <sz val="10"/>
        <rFont val="Verdana"/>
        <family val="2"/>
      </rPr>
      <t xml:space="preserve"> “No” is displayed in cell </t>
    </r>
    <r>
      <rPr>
        <b/>
        <sz val="10"/>
        <rFont val="Verdana"/>
        <family val="2"/>
      </rPr>
      <t>C22 or H23</t>
    </r>
    <r>
      <rPr>
        <sz val="10"/>
        <rFont val="Verdana"/>
        <family val="2"/>
      </rPr>
      <t>.</t>
    </r>
  </si>
  <si>
    <r>
      <t>9.</t>
    </r>
    <r>
      <rPr>
        <sz val="10"/>
        <rFont val="Verdana"/>
        <family val="2"/>
      </rPr>
      <t xml:space="preserve"> </t>
    </r>
    <r>
      <rPr>
        <i/>
        <sz val="10"/>
        <rFont val="Verdana"/>
        <family val="2"/>
      </rPr>
      <t>OPTIONAL:</t>
    </r>
    <r>
      <rPr>
        <sz val="10"/>
        <rFont val="Verdana"/>
        <family val="2"/>
      </rPr>
      <t xml:space="preserve"> To provide additional information about the project, type your comments in cell </t>
    </r>
    <r>
      <rPr>
        <b/>
        <sz val="10"/>
        <rFont val="Verdana"/>
        <family val="2"/>
      </rPr>
      <t>A87</t>
    </r>
    <r>
      <rPr>
        <sz val="10"/>
        <rFont val="Verdana"/>
        <family val="2"/>
      </rPr>
      <t xml:space="preserve"> (Multiple Unit A88)</t>
    </r>
  </si>
  <si>
    <r>
      <t>10.</t>
    </r>
    <r>
      <rPr>
        <sz val="10"/>
        <rFont val="Verdana"/>
        <family val="2"/>
      </rPr>
      <t xml:space="preserve"> To print the caluclation results for your records and/or as documentation for your LEED project submittal, either click the </t>
    </r>
    <r>
      <rPr>
        <b/>
        <sz val="10"/>
        <rFont val="Verdana"/>
        <family val="2"/>
      </rPr>
      <t>Print</t>
    </r>
    <r>
      <rPr>
        <sz val="10"/>
        <rFont val="Verdana"/>
        <family val="2"/>
      </rPr>
      <t xml:space="preserve"> button in the toolbar or open the </t>
    </r>
    <r>
      <rPr>
        <b/>
        <sz val="10"/>
        <rFont val="Verdana"/>
        <family val="2"/>
      </rPr>
      <t>File</t>
    </r>
    <r>
      <rPr>
        <sz val="10"/>
        <rFont val="Verdana"/>
        <family val="2"/>
      </rPr>
      <t xml:space="preserve"> menu and select </t>
    </r>
    <r>
      <rPr>
        <b/>
        <sz val="10"/>
        <rFont val="Verdana"/>
        <family val="2"/>
      </rPr>
      <t>Print</t>
    </r>
    <r>
      <rPr>
        <sz val="10"/>
        <rFont val="Verdana"/>
        <family val="2"/>
      </rPr>
      <t>.</t>
    </r>
  </si>
  <si>
    <r>
      <t xml:space="preserve">8A. </t>
    </r>
    <r>
      <rPr>
        <sz val="10"/>
        <rFont val="Verdana"/>
        <family val="2"/>
      </rPr>
      <t>(For Multiple Unit worksheet only) Enter the number of identical units in Row 10.</t>
    </r>
  </si>
  <si>
    <t>© 2009 Trane. All rights reserved</t>
  </si>
  <si>
    <t>Water cooled packaged AC</t>
  </si>
  <si>
    <t>R-32</t>
  </si>
  <si>
    <t xml:space="preserve">Version 4 “Equation Calculator” for LEED, BD+C EAc4; -CS EAc4; -EB O&amp;M EAc5;  </t>
  </si>
  <si>
    <t>© 2013 Trane. All rights reserved</t>
  </si>
  <si>
    <t>R-407A</t>
  </si>
  <si>
    <t>Leak rate</t>
  </si>
  <si>
    <t>End of life Loss</t>
  </si>
  <si>
    <t>Equipment Life</t>
  </si>
  <si>
    <t>Room or Window AC</t>
  </si>
  <si>
    <t>Split or Unitary DX</t>
  </si>
  <si>
    <t>Recip or Scoll Chillers</t>
  </si>
  <si>
    <t>Screw or Absorption Chiillers</t>
  </si>
  <si>
    <t>Centrifugal Chillers</t>
  </si>
  <si>
    <t>Refrigerant</t>
  </si>
  <si>
    <t>R-1234yf</t>
  </si>
  <si>
    <t>Maximum Refrigerant Charge Allowed (lb/ton):- Using Calculation</t>
  </si>
  <si>
    <t>5. Enter the refrigerant type in cell(s) B6 through G6. Selecting the refrigerant type automatically inserts the appropriate GWP and ODP values from the LEED-NC v4 Reference Guide (EA Credit 4, Table 1) in rows 14 and 15, respectively.</t>
  </si>
  <si>
    <t>6. Enter the equipment type in cell(s) B7 through G7. Selecting the equipment type automatically inserts the appropriate equipment life value(s) from the LEED-NC v4 Reference Guide in row 12.</t>
  </si>
  <si>
    <t>The project qualifies for EA Credit 4 of LEED-NC v4 if the value in cell H21 (Multiple Unit worksheet) or C21 (Single Unit worksheet) is less than or equal to 100 and “Yes” is displayed in cell H22 or C22.</t>
  </si>
  <si>
    <t>Based on the LEED v4 for Enhanced Refrigerant Management this project</t>
  </si>
  <si>
    <r>
      <t xml:space="preserve">ODP and GWP from </t>
    </r>
    <r>
      <rPr>
        <i/>
        <sz val="10"/>
        <rFont val="Verdana"/>
        <family val="2"/>
      </rPr>
      <t>LEED v4 BD+C Reference Guide</t>
    </r>
  </si>
  <si>
    <t>ODP and GWP from LEED v4 BD+C Reference Guide</t>
  </si>
  <si>
    <t>Equation Calculator for USGBC LEED:
v4 Energy &amp; Atmosphere Credit; BD+C-EAc6; ID+C-EAc5; EB:O-M-EAc8</t>
  </si>
  <si>
    <t xml:space="preserve">Version 4 “Equation Calculator” for LEED, BD+C-EAc6; ID+C-EAc5; EB:O-M-EAc8;  </t>
  </si>
  <si>
    <t>R-123_Trane_CTV_Documented_Lkg_Rate</t>
  </si>
  <si>
    <t>R-407F</t>
  </si>
  <si>
    <t>R-410A</t>
  </si>
  <si>
    <t>R-407C</t>
  </si>
  <si>
    <t>GWPs from IPCCv4 document</t>
  </si>
  <si>
    <t>R-1233zd(E)</t>
  </si>
  <si>
    <t>R-1234ze(E)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</si>
</sst>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
    <numFmt numFmtId="166" formatCode="0.00000"/>
    <numFmt numFmtId="167" formatCode="[$-409]dddd\,\ mmmm\ dd\,\ yyyy"/>
    <numFmt numFmtId="168" formatCode="[$-409]m/d/yy\ h:mm\ AM/PM;@"/>
    <numFmt numFmtId="169" formatCode="0.000"/>
    <numFmt numFmtId="170" formatCode="0.0%"/>
    <numFmt numFmtId="171" formatCode="0.0000"/>
  </numFmts>
  <fonts count="63">
    <font>
      <sz val="10"/>
      <name val="Arial"/>
      <family val="0"/>
    </font>
    <font>
      <sz val="8"/>
      <name val="Arial"/>
      <family val="2"/>
    </font>
    <font>
      <sz val="10"/>
      <name val="Verdana"/>
      <family val="2"/>
    </font>
    <font>
      <b/>
      <sz val="12"/>
      <name val="Verdana"/>
      <family val="2"/>
    </font>
    <font>
      <sz val="12"/>
      <name val="Verdana"/>
      <family val="2"/>
    </font>
    <font>
      <b/>
      <sz val="10"/>
      <name val="Verdana"/>
      <family val="2"/>
    </font>
    <font>
      <u val="single"/>
      <sz val="10"/>
      <name val="Verdana"/>
      <family val="2"/>
    </font>
    <font>
      <b/>
      <sz val="14"/>
      <name val="Verdana"/>
      <family val="2"/>
    </font>
    <font>
      <b/>
      <sz val="18"/>
      <name val="Verdana"/>
      <family val="2"/>
    </font>
    <font>
      <b/>
      <sz val="10"/>
      <color indexed="55"/>
      <name val="Verdana"/>
      <family val="2"/>
    </font>
    <font>
      <sz val="8"/>
      <color indexed="55"/>
      <name val="Verdana"/>
      <family val="2"/>
    </font>
    <font>
      <sz val="14"/>
      <name val="Verdana"/>
      <family val="2"/>
    </font>
    <font>
      <i/>
      <sz val="10"/>
      <name val="Verdana"/>
      <family val="2"/>
    </font>
    <font>
      <b/>
      <sz val="8"/>
      <name val="Tahoma"/>
      <family val="2"/>
    </font>
    <font>
      <b/>
      <sz val="10"/>
      <name val="Arial"/>
      <family val="2"/>
    </font>
    <font>
      <b/>
      <sz val="12"/>
      <name val="Tahoma"/>
      <family val="2"/>
    </font>
    <font>
      <b/>
      <sz val="16"/>
      <name val="Verdana"/>
      <family val="2"/>
    </font>
    <font>
      <b/>
      <sz val="14"/>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8"/>
      <name val="Tahoma"/>
      <family val="2"/>
    </font>
    <font>
      <b/>
      <sz val="8"/>
      <color indexed="8"/>
      <name val="Verdana"/>
      <family val="0"/>
    </font>
    <font>
      <b/>
      <sz val="8"/>
      <color indexed="9"/>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Fill="1" applyBorder="1" applyAlignment="1">
      <alignment vertical="center"/>
    </xf>
    <xf numFmtId="0" fontId="2" fillId="0" borderId="0" xfId="0" applyFont="1" applyBorder="1" applyAlignment="1">
      <alignment/>
    </xf>
    <xf numFmtId="0" fontId="3" fillId="0" borderId="0" xfId="0" applyFont="1" applyFill="1" applyBorder="1" applyAlignment="1" applyProtection="1">
      <alignment horizontal="left" vertical="center"/>
      <protection locked="0"/>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1" fontId="5" fillId="33" borderId="10" xfId="0" applyNumberFormat="1" applyFont="1" applyFill="1" applyBorder="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xf>
    <xf numFmtId="0" fontId="2" fillId="0" borderId="0" xfId="0" applyFont="1" applyAlignment="1">
      <alignment horizontal="left" vertical="center" indent="1"/>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indent="1"/>
    </xf>
    <xf numFmtId="0" fontId="2" fillId="0" borderId="16" xfId="0" applyFont="1" applyBorder="1" applyAlignment="1">
      <alignment horizontal="left" vertical="center" indent="1"/>
    </xf>
    <xf numFmtId="0" fontId="2" fillId="0" borderId="17" xfId="0" applyFont="1" applyBorder="1" applyAlignment="1">
      <alignment vertical="center"/>
    </xf>
    <xf numFmtId="0" fontId="2" fillId="0" borderId="10" xfId="0" applyFont="1" applyBorder="1" applyAlignment="1">
      <alignment vertical="center"/>
    </xf>
    <xf numFmtId="165" fontId="2" fillId="0" borderId="11" xfId="0" applyNumberFormat="1" applyFont="1" applyBorder="1" applyAlignment="1">
      <alignment vertical="center"/>
    </xf>
    <xf numFmtId="165" fontId="2" fillId="0" borderId="12" xfId="0" applyNumberFormat="1" applyFont="1" applyBorder="1" applyAlignment="1">
      <alignment vertical="center"/>
    </xf>
    <xf numFmtId="0" fontId="2" fillId="0" borderId="18" xfId="0" applyFont="1" applyBorder="1" applyAlignment="1">
      <alignment/>
    </xf>
    <xf numFmtId="0" fontId="2" fillId="0" borderId="19" xfId="0" applyFont="1" applyBorder="1" applyAlignment="1">
      <alignment horizontal="left" vertical="center" indent="1"/>
    </xf>
    <xf numFmtId="0" fontId="2" fillId="0" borderId="0" xfId="0" applyFont="1" applyBorder="1" applyAlignment="1">
      <alignment horizontal="left" indent="1"/>
    </xf>
    <xf numFmtId="0" fontId="2" fillId="0" borderId="20" xfId="0" applyFont="1" applyBorder="1" applyAlignment="1">
      <alignment/>
    </xf>
    <xf numFmtId="0" fontId="2" fillId="0" borderId="21" xfId="0" applyFont="1" applyBorder="1" applyAlignment="1">
      <alignment horizontal="left" vertical="center" indent="1"/>
    </xf>
    <xf numFmtId="0" fontId="2" fillId="0" borderId="22" xfId="0" applyFont="1" applyBorder="1" applyAlignment="1">
      <alignment vertical="center"/>
    </xf>
    <xf numFmtId="0" fontId="5" fillId="0" borderId="23" xfId="0" applyFont="1" applyBorder="1" applyAlignment="1">
      <alignment horizontal="left" vertical="center"/>
    </xf>
    <xf numFmtId="0" fontId="7" fillId="0" borderId="0" xfId="0" applyFont="1" applyBorder="1" applyAlignment="1">
      <alignment horizont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vertical="center"/>
    </xf>
    <xf numFmtId="0" fontId="5" fillId="0" borderId="0" xfId="0" applyFont="1" applyAlignment="1">
      <alignment horizontal="left" vertical="center"/>
    </xf>
    <xf numFmtId="0" fontId="11" fillId="0" borderId="0" xfId="0" applyFont="1" applyAlignment="1">
      <alignment vertical="center"/>
    </xf>
    <xf numFmtId="0" fontId="8" fillId="34" borderId="22" xfId="0" applyFont="1" applyFill="1" applyBorder="1" applyAlignment="1">
      <alignment horizontal="center" vertical="center"/>
    </xf>
    <xf numFmtId="0" fontId="5" fillId="33" borderId="14" xfId="0" applyFont="1" applyFill="1" applyBorder="1" applyAlignment="1">
      <alignment vertical="center"/>
    </xf>
    <xf numFmtId="0" fontId="5" fillId="33" borderId="27" xfId="0" applyFont="1" applyFill="1" applyBorder="1" applyAlignment="1">
      <alignment/>
    </xf>
    <xf numFmtId="0" fontId="5" fillId="33" borderId="28" xfId="0" applyFont="1" applyFill="1" applyBorder="1" applyAlignment="1">
      <alignment/>
    </xf>
    <xf numFmtId="166" fontId="5" fillId="33" borderId="13" xfId="0" applyNumberFormat="1" applyFont="1" applyFill="1" applyBorder="1" applyAlignment="1">
      <alignment vertical="center"/>
    </xf>
    <xf numFmtId="165" fontId="5" fillId="33" borderId="13" xfId="0" applyNumberFormat="1" applyFont="1" applyFill="1" applyBorder="1" applyAlignment="1">
      <alignment vertical="center"/>
    </xf>
    <xf numFmtId="1" fontId="5" fillId="33" borderId="29" xfId="0" applyNumberFormat="1" applyFont="1" applyFill="1" applyBorder="1" applyAlignment="1">
      <alignment vertical="center"/>
    </xf>
    <xf numFmtId="165" fontId="5" fillId="33" borderId="11" xfId="0" applyNumberFormat="1" applyFont="1" applyFill="1" applyBorder="1" applyAlignment="1">
      <alignment vertical="top"/>
    </xf>
    <xf numFmtId="0" fontId="5" fillId="35" borderId="0" xfId="0" applyFont="1" applyFill="1" applyBorder="1" applyAlignment="1">
      <alignment/>
    </xf>
    <xf numFmtId="0" fontId="5" fillId="35" borderId="15" xfId="0" applyFont="1" applyFill="1" applyBorder="1" applyAlignment="1">
      <alignment vertical="top"/>
    </xf>
    <xf numFmtId="0" fontId="5" fillId="35" borderId="19" xfId="0" applyFont="1" applyFill="1" applyBorder="1" applyAlignment="1">
      <alignment vertical="top"/>
    </xf>
    <xf numFmtId="0" fontId="5" fillId="35" borderId="30" xfId="0" applyFont="1" applyFill="1" applyBorder="1" applyAlignment="1">
      <alignment vertical="top"/>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3"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19" xfId="0" applyFont="1" applyFill="1" applyBorder="1" applyAlignment="1">
      <alignment vertical="center"/>
    </xf>
    <xf numFmtId="0" fontId="5" fillId="0" borderId="16" xfId="0" applyFont="1" applyFill="1" applyBorder="1" applyAlignment="1">
      <alignment horizontal="left" vertical="center" indent="1"/>
    </xf>
    <xf numFmtId="2" fontId="5" fillId="36" borderId="13" xfId="0" applyNumberFormat="1" applyFont="1" applyFill="1" applyBorder="1" applyAlignment="1">
      <alignment vertical="center"/>
    </xf>
    <xf numFmtId="0" fontId="5" fillId="36" borderId="13"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Alignment="1">
      <alignment wrapText="1"/>
    </xf>
    <xf numFmtId="0" fontId="2" fillId="0" borderId="0" xfId="0" applyFont="1" applyAlignment="1">
      <alignment horizontal="right" indent="1"/>
    </xf>
    <xf numFmtId="0" fontId="2" fillId="0" borderId="0" xfId="0" applyFont="1" applyAlignment="1">
      <alignment vertical="top"/>
    </xf>
    <xf numFmtId="0" fontId="7" fillId="0" borderId="0" xfId="0" applyFont="1" applyAlignment="1">
      <alignment horizontal="center" vertical="top"/>
    </xf>
    <xf numFmtId="0" fontId="5" fillId="0" borderId="0" xfId="0" applyFont="1" applyAlignment="1">
      <alignment vertical="center" wrapText="1"/>
    </xf>
    <xf numFmtId="0" fontId="2" fillId="0" borderId="0" xfId="0" applyFont="1" applyAlignment="1">
      <alignment vertical="top" wrapText="1"/>
    </xf>
    <xf numFmtId="0" fontId="12"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indent="1"/>
    </xf>
    <xf numFmtId="0" fontId="3" fillId="37" borderId="11" xfId="0" applyFont="1" applyFill="1" applyBorder="1" applyAlignment="1" applyProtection="1">
      <alignment horizontal="right" vertical="center"/>
      <protection locked="0"/>
    </xf>
    <xf numFmtId="0" fontId="3" fillId="37" borderId="12" xfId="0" applyFont="1" applyFill="1" applyBorder="1" applyAlignment="1" applyProtection="1">
      <alignment horizontal="right" vertical="center"/>
      <protection locked="0"/>
    </xf>
    <xf numFmtId="2" fontId="8" fillId="38" borderId="34" xfId="0" applyNumberFormat="1" applyFont="1" applyFill="1" applyBorder="1" applyAlignment="1">
      <alignment vertical="center"/>
    </xf>
    <xf numFmtId="2" fontId="5" fillId="0" borderId="22" xfId="0" applyNumberFormat="1" applyFont="1" applyBorder="1" applyAlignment="1">
      <alignment vertical="center"/>
    </xf>
    <xf numFmtId="168" fontId="5" fillId="0" borderId="0" xfId="0" applyNumberFormat="1" applyFont="1" applyAlignment="1">
      <alignment horizontal="left"/>
    </xf>
    <xf numFmtId="2" fontId="3" fillId="0" borderId="0" xfId="0" applyNumberFormat="1" applyFont="1" applyAlignment="1">
      <alignment horizontal="left" vertical="center"/>
    </xf>
    <xf numFmtId="165" fontId="5" fillId="37" borderId="13" xfId="0" applyNumberFormat="1" applyFont="1" applyFill="1" applyBorder="1" applyAlignment="1" applyProtection="1">
      <alignment vertical="center"/>
      <protection locked="0"/>
    </xf>
    <xf numFmtId="2" fontId="5" fillId="37" borderId="13" xfId="0" applyNumberFormat="1" applyFont="1" applyFill="1" applyBorder="1" applyAlignment="1" applyProtection="1">
      <alignment vertical="center"/>
      <protection locked="0"/>
    </xf>
    <xf numFmtId="0" fontId="8" fillId="35" borderId="23" xfId="0" applyFont="1" applyFill="1" applyBorder="1" applyAlignment="1">
      <alignment horizontal="right" vertical="center"/>
    </xf>
    <xf numFmtId="0" fontId="5" fillId="0" borderId="0" xfId="0" applyFont="1" applyAlignment="1">
      <alignment horizontal="left"/>
    </xf>
    <xf numFmtId="49" fontId="5" fillId="37" borderId="13" xfId="0" applyNumberFormat="1" applyFont="1" applyFill="1" applyBorder="1" applyAlignment="1" applyProtection="1">
      <alignment horizontal="center" vertical="center"/>
      <protection locked="0"/>
    </xf>
    <xf numFmtId="0" fontId="14" fillId="0" borderId="0" xfId="0" applyFont="1" applyAlignment="1">
      <alignment horizontal="center"/>
    </xf>
    <xf numFmtId="0" fontId="5" fillId="0" borderId="35" xfId="0" applyFont="1" applyBorder="1" applyAlignment="1">
      <alignment horizontal="center" vertical="center"/>
    </xf>
    <xf numFmtId="0" fontId="8" fillId="35" borderId="31" xfId="0" applyFont="1" applyFill="1" applyBorder="1" applyAlignment="1">
      <alignment horizontal="center" vertical="top"/>
    </xf>
    <xf numFmtId="165" fontId="5" fillId="33" borderId="29" xfId="0" applyNumberFormat="1" applyFont="1" applyFill="1" applyBorder="1" applyAlignment="1">
      <alignment vertical="center"/>
    </xf>
    <xf numFmtId="165" fontId="5" fillId="33" borderId="10" xfId="0" applyNumberFormat="1" applyFont="1" applyFill="1" applyBorder="1" applyAlignment="1">
      <alignment vertical="center"/>
    </xf>
    <xf numFmtId="2" fontId="5" fillId="36" borderId="17" xfId="0" applyNumberFormat="1" applyFont="1" applyFill="1" applyBorder="1" applyAlignment="1">
      <alignment vertical="center"/>
    </xf>
    <xf numFmtId="1" fontId="5" fillId="36" borderId="13" xfId="0" applyNumberFormat="1" applyFont="1" applyFill="1" applyBorder="1" applyAlignment="1">
      <alignment vertical="center"/>
    </xf>
    <xf numFmtId="0" fontId="3" fillId="36" borderId="14" xfId="0" applyFont="1" applyFill="1" applyBorder="1" applyAlignment="1">
      <alignment horizontal="right" vertical="center"/>
    </xf>
    <xf numFmtId="165" fontId="5" fillId="36" borderId="14" xfId="0" applyNumberFormat="1" applyFont="1" applyFill="1" applyBorder="1" applyAlignment="1">
      <alignment vertical="center"/>
    </xf>
    <xf numFmtId="0" fontId="5" fillId="0" borderId="16" xfId="0" applyFont="1" applyFill="1" applyBorder="1" applyAlignment="1">
      <alignment horizontal="left" vertical="center"/>
    </xf>
    <xf numFmtId="0" fontId="5" fillId="37" borderId="36" xfId="0" applyFont="1" applyFill="1" applyBorder="1" applyAlignment="1" applyProtection="1">
      <alignment horizontal="center" vertical="center"/>
      <protection locked="0"/>
    </xf>
    <xf numFmtId="0" fontId="3" fillId="37" borderId="14" xfId="0" applyFont="1" applyFill="1" applyBorder="1" applyAlignment="1" applyProtection="1">
      <alignment horizontal="right" vertical="center"/>
      <protection locked="0"/>
    </xf>
    <xf numFmtId="170" fontId="0" fillId="0" borderId="0" xfId="59" applyNumberFormat="1" applyFont="1" applyAlignment="1">
      <alignment/>
    </xf>
    <xf numFmtId="170" fontId="5" fillId="36" borderId="13" xfId="59" applyNumberFormat="1" applyFont="1" applyFill="1" applyBorder="1" applyAlignment="1">
      <alignment vertical="center"/>
    </xf>
    <xf numFmtId="1" fontId="5" fillId="37" borderId="13" xfId="0" applyNumberFormat="1" applyFont="1" applyFill="1" applyBorder="1" applyAlignment="1" applyProtection="1">
      <alignment vertical="center"/>
      <protection locked="0"/>
    </xf>
    <xf numFmtId="0" fontId="3" fillId="0" borderId="0" xfId="0" applyFont="1" applyAlignment="1">
      <alignment horizontal="center" vertical="top" wrapText="1"/>
    </xf>
    <xf numFmtId="0" fontId="16" fillId="0" borderId="0" xfId="0" applyFont="1" applyAlignment="1">
      <alignment horizontal="center" wrapText="1"/>
    </xf>
    <xf numFmtId="0" fontId="16" fillId="0" borderId="0" xfId="0" applyFont="1" applyAlignment="1">
      <alignment horizontal="center" vertical="center" wrapText="1"/>
    </xf>
    <xf numFmtId="10" fontId="0" fillId="0" borderId="0" xfId="59" applyNumberFormat="1" applyFont="1" applyAlignment="1">
      <alignment/>
    </xf>
    <xf numFmtId="0" fontId="0" fillId="0" borderId="0" xfId="0" applyFont="1" applyAlignment="1">
      <alignment/>
    </xf>
    <xf numFmtId="0" fontId="0" fillId="0" borderId="13" xfId="0" applyBorder="1" applyAlignment="1">
      <alignment/>
    </xf>
    <xf numFmtId="0" fontId="14" fillId="0" borderId="13" xfId="0" applyFont="1" applyBorder="1" applyAlignment="1">
      <alignment horizontal="center"/>
    </xf>
    <xf numFmtId="0" fontId="5" fillId="37" borderId="13" xfId="0" applyFont="1" applyFill="1" applyBorder="1" applyAlignment="1" applyProtection="1">
      <alignment horizontal="center" vertical="center"/>
      <protection locked="0"/>
    </xf>
    <xf numFmtId="0" fontId="14" fillId="0" borderId="13" xfId="0" applyFont="1" applyBorder="1" applyAlignment="1">
      <alignment horizontal="center" wrapText="1"/>
    </xf>
    <xf numFmtId="170" fontId="2" fillId="36" borderId="13" xfId="59" applyNumberFormat="1" applyFont="1" applyFill="1" applyBorder="1" applyAlignment="1">
      <alignment vertical="center"/>
    </xf>
    <xf numFmtId="1" fontId="2" fillId="36" borderId="13" xfId="0" applyNumberFormat="1" applyFont="1" applyFill="1" applyBorder="1" applyAlignment="1">
      <alignment vertical="center"/>
    </xf>
    <xf numFmtId="2" fontId="2" fillId="36" borderId="13" xfId="0" applyNumberFormat="1" applyFont="1" applyFill="1" applyBorder="1" applyAlignment="1">
      <alignment vertical="center"/>
    </xf>
    <xf numFmtId="0" fontId="0" fillId="0" borderId="0" xfId="0" applyAlignment="1">
      <alignment wrapText="1"/>
    </xf>
    <xf numFmtId="2" fontId="0" fillId="0" borderId="13" xfId="0" applyNumberFormat="1" applyBorder="1" applyAlignment="1">
      <alignment/>
    </xf>
    <xf numFmtId="0" fontId="11" fillId="0" borderId="0" xfId="0" applyFont="1" applyAlignment="1">
      <alignment/>
    </xf>
    <xf numFmtId="1" fontId="0" fillId="0" borderId="13" xfId="0" applyNumberFormat="1" applyBorder="1" applyAlignment="1">
      <alignment/>
    </xf>
    <xf numFmtId="0" fontId="0" fillId="0" borderId="0" xfId="0" applyFont="1" applyAlignment="1">
      <alignment/>
    </xf>
    <xf numFmtId="0" fontId="8" fillId="0" borderId="37" xfId="0"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Alignment="1">
      <alignment vertical="center"/>
    </xf>
    <xf numFmtId="0" fontId="7" fillId="0" borderId="23" xfId="0" applyFont="1" applyFill="1" applyBorder="1" applyAlignment="1">
      <alignment horizontal="left" vertical="top" wrapText="1"/>
    </xf>
    <xf numFmtId="0" fontId="7" fillId="0" borderId="23" xfId="0" applyFont="1" applyFill="1" applyBorder="1" applyAlignment="1">
      <alignment horizontal="left" vertical="top"/>
    </xf>
    <xf numFmtId="0" fontId="3" fillId="37" borderId="34" xfId="0" applyFont="1" applyFill="1" applyBorder="1" applyAlignment="1" applyProtection="1">
      <alignment horizontal="left" vertical="center"/>
      <protection locked="0"/>
    </xf>
    <xf numFmtId="0" fontId="3" fillId="37" borderId="31" xfId="0" applyFont="1" applyFill="1" applyBorder="1" applyAlignment="1" applyProtection="1">
      <alignment horizontal="left" vertical="center"/>
      <protection locked="0"/>
    </xf>
    <xf numFmtId="0" fontId="3" fillId="37" borderId="14" xfId="0" applyFont="1" applyFill="1" applyBorder="1" applyAlignment="1" applyProtection="1">
      <alignment horizontal="left" vertical="center"/>
      <protection locked="0"/>
    </xf>
    <xf numFmtId="0" fontId="3" fillId="37" borderId="32" xfId="0" applyFont="1" applyFill="1" applyBorder="1" applyAlignment="1" applyProtection="1">
      <alignment horizontal="left" vertical="center"/>
      <protection locked="0"/>
    </xf>
    <xf numFmtId="164" fontId="2" fillId="33" borderId="10" xfId="0" applyNumberFormat="1" applyFont="1" applyFill="1" applyBorder="1" applyAlignment="1">
      <alignment horizontal="left" vertical="center"/>
    </xf>
    <xf numFmtId="164" fontId="2" fillId="33" borderId="38" xfId="0" applyNumberFormat="1" applyFont="1" applyFill="1" applyBorder="1" applyAlignment="1">
      <alignment horizontal="left" vertical="center"/>
    </xf>
    <xf numFmtId="0" fontId="2" fillId="37" borderId="0" xfId="0" applyFont="1" applyFill="1" applyBorder="1" applyAlignment="1" applyProtection="1">
      <alignment horizontal="left" vertical="top" wrapText="1"/>
      <protection locked="0"/>
    </xf>
    <xf numFmtId="0" fontId="10" fillId="0" borderId="0" xfId="0" applyFont="1" applyAlignment="1">
      <alignment horizontal="left" vertical="top"/>
    </xf>
    <xf numFmtId="0" fontId="10" fillId="0" borderId="0" xfId="0" applyFont="1" applyAlignment="1">
      <alignment horizontal="left" vertical="center" wrapText="1"/>
    </xf>
    <xf numFmtId="0" fontId="7" fillId="0" borderId="0" xfId="0" applyFont="1" applyAlignment="1">
      <alignment horizontal="center" vertical="center"/>
    </xf>
    <xf numFmtId="0" fontId="11" fillId="0" borderId="0" xfId="0" applyFont="1" applyAlignment="1">
      <alignment horizontal="center"/>
    </xf>
    <xf numFmtId="0" fontId="5" fillId="0" borderId="0" xfId="0" applyFont="1" applyAlignment="1">
      <alignment/>
    </xf>
    <xf numFmtId="0" fontId="5" fillId="0" borderId="0" xfId="0" applyFont="1" applyAlignment="1">
      <alignment horizontal="left"/>
    </xf>
    <xf numFmtId="0" fontId="7" fillId="0" borderId="37" xfId="0" applyFont="1" applyBorder="1" applyAlignment="1">
      <alignment horizontal="center" wrapText="1"/>
    </xf>
    <xf numFmtId="0" fontId="8" fillId="35" borderId="31" xfId="0" applyFont="1" applyFill="1" applyBorder="1" applyAlignment="1">
      <alignment horizontal="left" vertical="top" indent="9"/>
    </xf>
    <xf numFmtId="0" fontId="8" fillId="35" borderId="33" xfId="0" applyFont="1" applyFill="1" applyBorder="1" applyAlignment="1">
      <alignment horizontal="left" vertical="top" indent="9"/>
    </xf>
    <xf numFmtId="0" fontId="8" fillId="35" borderId="23" xfId="0" applyFont="1" applyFill="1" applyBorder="1" applyAlignment="1">
      <alignment horizontal="right" vertical="center"/>
    </xf>
    <xf numFmtId="0" fontId="61" fillId="0" borderId="0" xfId="0" applyFont="1" applyAlignment="1">
      <alignment horizontal="center"/>
    </xf>
    <xf numFmtId="0" fontId="14" fillId="0" borderId="13" xfId="0" applyFont="1" applyBorder="1" applyAlignment="1">
      <alignment horizontal="center"/>
    </xf>
    <xf numFmtId="0" fontId="17" fillId="0" borderId="13" xfId="0" applyFont="1" applyBorder="1" applyAlignment="1">
      <alignment horizontal="center"/>
    </xf>
    <xf numFmtId="0" fontId="18" fillId="0" borderId="39"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indexed="42"/>
        </patternFill>
      </fill>
    </dxf>
    <dxf>
      <font>
        <color indexed="9"/>
      </font>
      <fill>
        <patternFill>
          <bgColor indexed="10"/>
        </patternFill>
      </fill>
    </dxf>
    <dxf>
      <fill>
        <patternFill>
          <bgColor indexed="42"/>
        </patternFill>
      </fill>
    </dxf>
    <dxf>
      <font>
        <color indexed="9"/>
      </font>
      <fill>
        <patternFill patternType="solid">
          <bgColor indexed="10"/>
        </patternFill>
      </fill>
    </dxf>
    <dxf>
      <fill>
        <patternFill>
          <bgColor indexed="42"/>
        </patternFill>
      </fill>
    </dxf>
    <dxf>
      <font>
        <color indexed="9"/>
      </font>
      <fill>
        <patternFill>
          <bgColor indexed="10"/>
        </patternFill>
      </fill>
    </dxf>
    <dxf>
      <fill>
        <patternFill>
          <bgColor indexed="42"/>
        </patternFill>
      </fill>
    </dxf>
    <dxf>
      <font>
        <color indexed="9"/>
      </font>
      <fill>
        <patternFill patternType="solid">
          <bgColor indexed="10"/>
        </patternFill>
      </fill>
    </dxf>
    <dxf>
      <fill>
        <patternFill>
          <bgColor indexed="42"/>
        </patternFill>
      </fill>
    </dxf>
    <dxf>
      <font>
        <color indexed="9"/>
      </font>
      <fill>
        <patternFill>
          <bgColor indexed="10"/>
        </patternFill>
      </fill>
    </dxf>
    <dxf>
      <fill>
        <patternFill>
          <bgColor indexed="42"/>
        </patternFill>
      </fill>
    </dxf>
    <dxf>
      <font>
        <color indexed="9"/>
      </font>
      <fill>
        <patternFill patternType="solid">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1.emf" /><Relationship Id="rId7" Type="http://schemas.openxmlformats.org/officeDocument/2006/relationships/image" Target="../media/image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2352675</xdr:colOff>
      <xdr:row>21</xdr:row>
      <xdr:rowOff>304800</xdr:rowOff>
    </xdr:to>
    <xdr:pic>
      <xdr:nvPicPr>
        <xdr:cNvPr id="1" name="Picture 4" descr="redlogo_white"/>
        <xdr:cNvPicPr preferRelativeResize="1">
          <a:picLocks noChangeAspect="1"/>
        </xdr:cNvPicPr>
      </xdr:nvPicPr>
      <xdr:blipFill>
        <a:blip r:embed="rId1"/>
        <a:stretch>
          <a:fillRect/>
        </a:stretch>
      </xdr:blipFill>
      <xdr:spPr>
        <a:xfrm>
          <a:off x="9525" y="7620000"/>
          <a:ext cx="2343150" cy="800100"/>
        </a:xfrm>
        <a:prstGeom prst="rect">
          <a:avLst/>
        </a:prstGeom>
        <a:noFill/>
        <a:ln w="9525" cmpd="sng">
          <a:noFill/>
        </a:ln>
      </xdr:spPr>
    </xdr:pic>
    <xdr:clientData/>
  </xdr:twoCellAnchor>
  <xdr:twoCellAnchor>
    <xdr:from>
      <xdr:col>0</xdr:col>
      <xdr:colOff>47625</xdr:colOff>
      <xdr:row>0</xdr:row>
      <xdr:rowOff>771525</xdr:rowOff>
    </xdr:from>
    <xdr:to>
      <xdr:col>0</xdr:col>
      <xdr:colOff>1600200</xdr:colOff>
      <xdr:row>0</xdr:row>
      <xdr:rowOff>1000125</xdr:rowOff>
    </xdr:to>
    <xdr:sp>
      <xdr:nvSpPr>
        <xdr:cNvPr id="2" name="Text Box 7"/>
        <xdr:cNvSpPr txBox="1">
          <a:spLocks noChangeArrowheads="1"/>
        </xdr:cNvSpPr>
      </xdr:nvSpPr>
      <xdr:spPr>
        <a:xfrm>
          <a:off x="47625" y="771525"/>
          <a:ext cx="1552575" cy="228600"/>
        </a:xfrm>
        <a:prstGeom prst="rect">
          <a:avLst/>
        </a:prstGeom>
        <a:solidFill>
          <a:srgbClr val="FFCC99"/>
        </a:solidFill>
        <a:ln w="9525" cmpd="sng">
          <a:noFill/>
        </a:ln>
      </xdr:spPr>
      <xdr:txBody>
        <a:bodyPr vertOverflow="clip" wrap="square" anchor="ctr"/>
        <a:p>
          <a:pPr algn="ctr">
            <a:defRPr/>
          </a:pPr>
          <a:r>
            <a:rPr lang="en-US" cap="none" sz="800" b="1" i="0" u="none" baseline="0">
              <a:solidFill>
                <a:srgbClr val="000000"/>
              </a:solidFill>
            </a:rPr>
            <a:t>Orange = Fixed values</a:t>
          </a:r>
        </a:p>
      </xdr:txBody>
    </xdr:sp>
    <xdr:clientData/>
  </xdr:twoCellAnchor>
  <xdr:twoCellAnchor>
    <xdr:from>
      <xdr:col>0</xdr:col>
      <xdr:colOff>1933575</xdr:colOff>
      <xdr:row>0</xdr:row>
      <xdr:rowOff>771525</xdr:rowOff>
    </xdr:from>
    <xdr:to>
      <xdr:col>0</xdr:col>
      <xdr:colOff>3667125</xdr:colOff>
      <xdr:row>0</xdr:row>
      <xdr:rowOff>1000125</xdr:rowOff>
    </xdr:to>
    <xdr:sp>
      <xdr:nvSpPr>
        <xdr:cNvPr id="3" name="Text Box 8"/>
        <xdr:cNvSpPr txBox="1">
          <a:spLocks noChangeArrowheads="1"/>
        </xdr:cNvSpPr>
      </xdr:nvSpPr>
      <xdr:spPr>
        <a:xfrm>
          <a:off x="1933575" y="771525"/>
          <a:ext cx="1733550" cy="228600"/>
        </a:xfrm>
        <a:prstGeom prst="rect">
          <a:avLst/>
        </a:prstGeom>
        <a:solidFill>
          <a:srgbClr val="CCFFFF"/>
        </a:solidFill>
        <a:ln w="9525" cmpd="sng">
          <a:noFill/>
        </a:ln>
      </xdr:spPr>
      <xdr:txBody>
        <a:bodyPr vertOverflow="clip" wrap="square" anchor="ctr"/>
        <a:p>
          <a:pPr algn="ctr">
            <a:defRPr/>
          </a:pPr>
          <a:r>
            <a:rPr lang="en-US" cap="none" sz="800" b="1" i="0" u="none" baseline="0">
              <a:solidFill>
                <a:srgbClr val="000000"/>
              </a:solidFill>
            </a:rPr>
            <a:t>Turquoise = User entries</a:t>
          </a:r>
        </a:p>
      </xdr:txBody>
    </xdr:sp>
    <xdr:clientData/>
  </xdr:twoCellAnchor>
  <xdr:twoCellAnchor>
    <xdr:from>
      <xdr:col>0</xdr:col>
      <xdr:colOff>4000500</xdr:colOff>
      <xdr:row>0</xdr:row>
      <xdr:rowOff>771525</xdr:rowOff>
    </xdr:from>
    <xdr:to>
      <xdr:col>1</xdr:col>
      <xdr:colOff>1190625</xdr:colOff>
      <xdr:row>0</xdr:row>
      <xdr:rowOff>1000125</xdr:rowOff>
    </xdr:to>
    <xdr:sp>
      <xdr:nvSpPr>
        <xdr:cNvPr id="4" name="Text Box 9"/>
        <xdr:cNvSpPr txBox="1">
          <a:spLocks noChangeArrowheads="1"/>
        </xdr:cNvSpPr>
      </xdr:nvSpPr>
      <xdr:spPr>
        <a:xfrm>
          <a:off x="4000500" y="771525"/>
          <a:ext cx="1724025" cy="228600"/>
        </a:xfrm>
        <a:prstGeom prst="rect">
          <a:avLst/>
        </a:prstGeom>
        <a:solidFill>
          <a:srgbClr val="FFFF99"/>
        </a:solidFill>
        <a:ln w="9525" cmpd="sng">
          <a:noFill/>
        </a:ln>
      </xdr:spPr>
      <xdr:txBody>
        <a:bodyPr vertOverflow="clip" wrap="square" anchor="ctr"/>
        <a:p>
          <a:pPr algn="ctr">
            <a:defRPr/>
          </a:pPr>
          <a:r>
            <a:rPr lang="en-US" cap="none" sz="800" b="1" i="0" u="none" baseline="0">
              <a:solidFill>
                <a:srgbClr val="000000"/>
              </a:solidFill>
            </a:rPr>
            <a:t>Yellow = Calculated values</a:t>
          </a:r>
        </a:p>
      </xdr:txBody>
    </xdr:sp>
    <xdr:clientData/>
  </xdr:twoCellAnchor>
  <xdr:twoCellAnchor>
    <xdr:from>
      <xdr:col>2</xdr:col>
      <xdr:colOff>0</xdr:colOff>
      <xdr:row>0</xdr:row>
      <xdr:rowOff>771525</xdr:rowOff>
    </xdr:from>
    <xdr:to>
      <xdr:col>2</xdr:col>
      <xdr:colOff>0</xdr:colOff>
      <xdr:row>0</xdr:row>
      <xdr:rowOff>1000125</xdr:rowOff>
    </xdr:to>
    <xdr:sp>
      <xdr:nvSpPr>
        <xdr:cNvPr id="5" name="Text Box 10"/>
        <xdr:cNvSpPr txBox="1">
          <a:spLocks noChangeArrowheads="1"/>
        </xdr:cNvSpPr>
      </xdr:nvSpPr>
      <xdr:spPr>
        <a:xfrm>
          <a:off x="6181725" y="771525"/>
          <a:ext cx="0" cy="228600"/>
        </a:xfrm>
        <a:prstGeom prst="rect">
          <a:avLst/>
        </a:prstGeom>
        <a:solidFill>
          <a:srgbClr val="FF0000"/>
        </a:solidFill>
        <a:ln w="9525" cmpd="sng">
          <a:noFill/>
        </a:ln>
      </xdr:spPr>
      <xdr:txBody>
        <a:bodyPr vertOverflow="clip" wrap="square" anchor="ctr"/>
        <a:p>
          <a:pPr algn="ctr">
            <a:defRPr/>
          </a:pPr>
          <a:r>
            <a:rPr lang="en-US" cap="none" sz="800" b="1" i="0" u="none" baseline="0">
              <a:solidFill>
                <a:srgbClr val="FFFFFF"/>
              </a:solidFill>
            </a:rPr>
            <a:t>Red = Ineligible result</a:t>
          </a:r>
        </a:p>
      </xdr:txBody>
    </xdr:sp>
    <xdr:clientData/>
  </xdr:twoCellAnchor>
  <xdr:twoCellAnchor>
    <xdr:from>
      <xdr:col>2</xdr:col>
      <xdr:colOff>1762125</xdr:colOff>
      <xdr:row>0</xdr:row>
      <xdr:rowOff>771525</xdr:rowOff>
    </xdr:from>
    <xdr:to>
      <xdr:col>2</xdr:col>
      <xdr:colOff>3314700</xdr:colOff>
      <xdr:row>0</xdr:row>
      <xdr:rowOff>1000125</xdr:rowOff>
    </xdr:to>
    <xdr:sp>
      <xdr:nvSpPr>
        <xdr:cNvPr id="6" name="Text Box 11"/>
        <xdr:cNvSpPr txBox="1">
          <a:spLocks noChangeArrowheads="1"/>
        </xdr:cNvSpPr>
      </xdr:nvSpPr>
      <xdr:spPr>
        <a:xfrm>
          <a:off x="7943850" y="771525"/>
          <a:ext cx="1552575" cy="228600"/>
        </a:xfrm>
        <a:prstGeom prst="rect">
          <a:avLst/>
        </a:prstGeom>
        <a:solidFill>
          <a:srgbClr val="CCFFCC"/>
        </a:solidFill>
        <a:ln w="9525" cmpd="sng">
          <a:noFill/>
        </a:ln>
      </xdr:spPr>
      <xdr:txBody>
        <a:bodyPr vertOverflow="clip" wrap="square" anchor="ctr"/>
        <a:p>
          <a:pPr algn="ctr">
            <a:defRPr/>
          </a:pPr>
          <a:r>
            <a:rPr lang="en-US" cap="none" sz="800" b="1" i="0" u="none" baseline="0">
              <a:solidFill>
                <a:srgbClr val="000000"/>
              </a:solidFill>
            </a:rPr>
            <a:t>Green = Eligible result</a:t>
          </a:r>
        </a:p>
      </xdr:txBody>
    </xdr:sp>
    <xdr:clientData/>
  </xdr:twoCellAnchor>
  <xdr:twoCellAnchor>
    <xdr:from>
      <xdr:col>1</xdr:col>
      <xdr:colOff>1524000</xdr:colOff>
      <xdr:row>0</xdr:row>
      <xdr:rowOff>771525</xdr:rowOff>
    </xdr:from>
    <xdr:to>
      <xdr:col>2</xdr:col>
      <xdr:colOff>1428750</xdr:colOff>
      <xdr:row>0</xdr:row>
      <xdr:rowOff>1000125</xdr:rowOff>
    </xdr:to>
    <xdr:sp>
      <xdr:nvSpPr>
        <xdr:cNvPr id="7" name="Text Box 35"/>
        <xdr:cNvSpPr txBox="1">
          <a:spLocks noChangeArrowheads="1"/>
        </xdr:cNvSpPr>
      </xdr:nvSpPr>
      <xdr:spPr>
        <a:xfrm>
          <a:off x="6057900" y="771525"/>
          <a:ext cx="1552575" cy="228600"/>
        </a:xfrm>
        <a:prstGeom prst="rect">
          <a:avLst/>
        </a:prstGeom>
        <a:solidFill>
          <a:srgbClr val="FF0000"/>
        </a:solidFill>
        <a:ln w="9525" cmpd="sng">
          <a:noFill/>
        </a:ln>
      </xdr:spPr>
      <xdr:txBody>
        <a:bodyPr vertOverflow="clip" wrap="square" anchor="ctr"/>
        <a:p>
          <a:pPr algn="ctr">
            <a:defRPr/>
          </a:pPr>
          <a:r>
            <a:rPr lang="en-US" cap="none" sz="800" b="1" i="0" u="none" baseline="0">
              <a:solidFill>
                <a:srgbClr val="FFFFFF"/>
              </a:solidFill>
            </a:rPr>
            <a:t>Red = Ineligible result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21</xdr:row>
      <xdr:rowOff>419100</xdr:rowOff>
    </xdr:from>
    <xdr:to>
      <xdr:col>0</xdr:col>
      <xdr:colOff>2352675</xdr:colOff>
      <xdr:row>22</xdr:row>
      <xdr:rowOff>304800</xdr:rowOff>
    </xdr:to>
    <xdr:pic>
      <xdr:nvPicPr>
        <xdr:cNvPr id="1" name="Picture 9" descr="redlogo_white"/>
        <xdr:cNvPicPr preferRelativeResize="1">
          <a:picLocks noChangeAspect="1"/>
        </xdr:cNvPicPr>
      </xdr:nvPicPr>
      <xdr:blipFill>
        <a:blip r:embed="rId1"/>
        <a:stretch>
          <a:fillRect/>
        </a:stretch>
      </xdr:blipFill>
      <xdr:spPr>
        <a:xfrm>
          <a:off x="9525" y="7848600"/>
          <a:ext cx="2343150" cy="800100"/>
        </a:xfrm>
        <a:prstGeom prst="rect">
          <a:avLst/>
        </a:prstGeom>
        <a:noFill/>
        <a:ln w="9525" cmpd="sng">
          <a:noFill/>
        </a:ln>
      </xdr:spPr>
    </xdr:pic>
    <xdr:clientData/>
  </xdr:twoCellAnchor>
  <xdr:twoCellAnchor>
    <xdr:from>
      <xdr:col>1</xdr:col>
      <xdr:colOff>28575</xdr:colOff>
      <xdr:row>0</xdr:row>
      <xdr:rowOff>771525</xdr:rowOff>
    </xdr:from>
    <xdr:to>
      <xdr:col>1</xdr:col>
      <xdr:colOff>1581150</xdr:colOff>
      <xdr:row>0</xdr:row>
      <xdr:rowOff>1000125</xdr:rowOff>
    </xdr:to>
    <xdr:sp>
      <xdr:nvSpPr>
        <xdr:cNvPr id="2" name="Text Box 13"/>
        <xdr:cNvSpPr txBox="1">
          <a:spLocks noChangeArrowheads="1"/>
        </xdr:cNvSpPr>
      </xdr:nvSpPr>
      <xdr:spPr>
        <a:xfrm>
          <a:off x="4562475" y="771525"/>
          <a:ext cx="1552575" cy="228600"/>
        </a:xfrm>
        <a:prstGeom prst="rect">
          <a:avLst/>
        </a:prstGeom>
        <a:solidFill>
          <a:srgbClr val="FFCC99"/>
        </a:solidFill>
        <a:ln w="9525" cmpd="sng">
          <a:noFill/>
        </a:ln>
      </xdr:spPr>
      <xdr:txBody>
        <a:bodyPr vertOverflow="clip" wrap="square" anchor="ctr"/>
        <a:p>
          <a:pPr algn="ctr">
            <a:defRPr/>
          </a:pPr>
          <a:r>
            <a:rPr lang="en-US" cap="none" sz="800" b="1" i="0" u="none" baseline="0">
              <a:solidFill>
                <a:srgbClr val="000000"/>
              </a:solidFill>
            </a:rPr>
            <a:t>Orange = Fixed values</a:t>
          </a:r>
        </a:p>
      </xdr:txBody>
    </xdr:sp>
    <xdr:clientData/>
  </xdr:twoCellAnchor>
  <xdr:twoCellAnchor>
    <xdr:from>
      <xdr:col>2</xdr:col>
      <xdr:colOff>257175</xdr:colOff>
      <xdr:row>0</xdr:row>
      <xdr:rowOff>771525</xdr:rowOff>
    </xdr:from>
    <xdr:to>
      <xdr:col>3</xdr:col>
      <xdr:colOff>342900</xdr:colOff>
      <xdr:row>0</xdr:row>
      <xdr:rowOff>1000125</xdr:rowOff>
    </xdr:to>
    <xdr:sp>
      <xdr:nvSpPr>
        <xdr:cNvPr id="3" name="Text Box 14"/>
        <xdr:cNvSpPr txBox="1">
          <a:spLocks noChangeArrowheads="1"/>
        </xdr:cNvSpPr>
      </xdr:nvSpPr>
      <xdr:spPr>
        <a:xfrm>
          <a:off x="6438900" y="771525"/>
          <a:ext cx="1733550" cy="228600"/>
        </a:xfrm>
        <a:prstGeom prst="rect">
          <a:avLst/>
        </a:prstGeom>
        <a:solidFill>
          <a:srgbClr val="CCFFFF"/>
        </a:solidFill>
        <a:ln w="9525" cmpd="sng">
          <a:noFill/>
        </a:ln>
      </xdr:spPr>
      <xdr:txBody>
        <a:bodyPr vertOverflow="clip" wrap="square" anchor="ctr"/>
        <a:p>
          <a:pPr algn="ctr">
            <a:defRPr/>
          </a:pPr>
          <a:r>
            <a:rPr lang="en-US" cap="none" sz="800" b="1" i="0" u="none" baseline="0">
              <a:solidFill>
                <a:srgbClr val="000000"/>
              </a:solidFill>
            </a:rPr>
            <a:t>Turquoise = User entries</a:t>
          </a:r>
        </a:p>
      </xdr:txBody>
    </xdr:sp>
    <xdr:clientData/>
  </xdr:twoCellAnchor>
  <xdr:twoCellAnchor>
    <xdr:from>
      <xdr:col>3</xdr:col>
      <xdr:colOff>676275</xdr:colOff>
      <xdr:row>0</xdr:row>
      <xdr:rowOff>771525</xdr:rowOff>
    </xdr:from>
    <xdr:to>
      <xdr:col>4</xdr:col>
      <xdr:colOff>1123950</xdr:colOff>
      <xdr:row>0</xdr:row>
      <xdr:rowOff>1000125</xdr:rowOff>
    </xdr:to>
    <xdr:sp>
      <xdr:nvSpPr>
        <xdr:cNvPr id="4" name="Text Box 15"/>
        <xdr:cNvSpPr txBox="1">
          <a:spLocks noChangeArrowheads="1"/>
        </xdr:cNvSpPr>
      </xdr:nvSpPr>
      <xdr:spPr>
        <a:xfrm>
          <a:off x="8505825" y="771525"/>
          <a:ext cx="2095500" cy="228600"/>
        </a:xfrm>
        <a:prstGeom prst="rect">
          <a:avLst/>
        </a:prstGeom>
        <a:solidFill>
          <a:srgbClr val="FFFF99"/>
        </a:solidFill>
        <a:ln w="9525" cmpd="sng">
          <a:noFill/>
        </a:ln>
      </xdr:spPr>
      <xdr:txBody>
        <a:bodyPr vertOverflow="clip" wrap="square" anchor="ctr"/>
        <a:p>
          <a:pPr algn="ctr">
            <a:defRPr/>
          </a:pPr>
          <a:r>
            <a:rPr lang="en-US" cap="none" sz="800" b="1" i="0" u="none" baseline="0">
              <a:solidFill>
                <a:srgbClr val="000000"/>
              </a:solidFill>
            </a:rPr>
            <a:t>Yellow = Calculated values</a:t>
          </a:r>
        </a:p>
      </xdr:txBody>
    </xdr:sp>
    <xdr:clientData/>
  </xdr:twoCellAnchor>
  <xdr:twoCellAnchor>
    <xdr:from>
      <xdr:col>4</xdr:col>
      <xdr:colOff>1457325</xdr:colOff>
      <xdr:row>0</xdr:row>
      <xdr:rowOff>771525</xdr:rowOff>
    </xdr:from>
    <xdr:to>
      <xdr:col>6</xdr:col>
      <xdr:colOff>257175</xdr:colOff>
      <xdr:row>0</xdr:row>
      <xdr:rowOff>1000125</xdr:rowOff>
    </xdr:to>
    <xdr:sp>
      <xdr:nvSpPr>
        <xdr:cNvPr id="5" name="Text Box 16"/>
        <xdr:cNvSpPr txBox="1">
          <a:spLocks noChangeArrowheads="1"/>
        </xdr:cNvSpPr>
      </xdr:nvSpPr>
      <xdr:spPr>
        <a:xfrm>
          <a:off x="10934700" y="771525"/>
          <a:ext cx="2095500" cy="228600"/>
        </a:xfrm>
        <a:prstGeom prst="rect">
          <a:avLst/>
        </a:prstGeom>
        <a:solidFill>
          <a:srgbClr val="FF0000"/>
        </a:solidFill>
        <a:ln w="9525" cmpd="sng">
          <a:noFill/>
        </a:ln>
      </xdr:spPr>
      <xdr:txBody>
        <a:bodyPr vertOverflow="clip" wrap="square" anchor="ctr"/>
        <a:p>
          <a:pPr algn="ctr">
            <a:defRPr/>
          </a:pPr>
          <a:r>
            <a:rPr lang="en-US" cap="none" sz="800" b="1" i="0" u="none" baseline="0">
              <a:solidFill>
                <a:srgbClr val="FFFFFF"/>
              </a:solidFill>
            </a:rPr>
            <a:t>Red = Ineligible result</a:t>
          </a:r>
        </a:p>
      </xdr:txBody>
    </xdr:sp>
    <xdr:clientData/>
  </xdr:twoCellAnchor>
  <xdr:twoCellAnchor>
    <xdr:from>
      <xdr:col>6</xdr:col>
      <xdr:colOff>590550</xdr:colOff>
      <xdr:row>0</xdr:row>
      <xdr:rowOff>771525</xdr:rowOff>
    </xdr:from>
    <xdr:to>
      <xdr:col>7</xdr:col>
      <xdr:colOff>1038225</xdr:colOff>
      <xdr:row>0</xdr:row>
      <xdr:rowOff>1000125</xdr:rowOff>
    </xdr:to>
    <xdr:sp>
      <xdr:nvSpPr>
        <xdr:cNvPr id="6" name="Text Box 17"/>
        <xdr:cNvSpPr txBox="1">
          <a:spLocks noChangeArrowheads="1"/>
        </xdr:cNvSpPr>
      </xdr:nvSpPr>
      <xdr:spPr>
        <a:xfrm>
          <a:off x="13363575" y="771525"/>
          <a:ext cx="2095500" cy="228600"/>
        </a:xfrm>
        <a:prstGeom prst="rect">
          <a:avLst/>
        </a:prstGeom>
        <a:solidFill>
          <a:srgbClr val="CCFFCC"/>
        </a:solidFill>
        <a:ln w="9525" cmpd="sng">
          <a:noFill/>
        </a:ln>
      </xdr:spPr>
      <xdr:txBody>
        <a:bodyPr vertOverflow="clip" wrap="square" anchor="ctr"/>
        <a:p>
          <a:pPr algn="ctr">
            <a:defRPr/>
          </a:pPr>
          <a:r>
            <a:rPr lang="en-US" cap="none" sz="800" b="1" i="0" u="none" baseline="0">
              <a:solidFill>
                <a:srgbClr val="000000"/>
              </a:solidFill>
            </a:rPr>
            <a:t>Green = Eligible result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609600</xdr:colOff>
      <xdr:row>22</xdr:row>
      <xdr:rowOff>0</xdr:rowOff>
    </xdr:to>
    <xdr:pic>
      <xdr:nvPicPr>
        <xdr:cNvPr id="1" name="Picture 4" descr="redlogo_white"/>
        <xdr:cNvPicPr preferRelativeResize="1">
          <a:picLocks noChangeAspect="1"/>
        </xdr:cNvPicPr>
      </xdr:nvPicPr>
      <xdr:blipFill>
        <a:blip r:embed="rId1"/>
        <a:stretch>
          <a:fillRect/>
        </a:stretch>
      </xdr:blipFill>
      <xdr:spPr>
        <a:xfrm>
          <a:off x="9525" y="7620000"/>
          <a:ext cx="600075" cy="1123950"/>
        </a:xfrm>
        <a:prstGeom prst="rect">
          <a:avLst/>
        </a:prstGeom>
        <a:noFill/>
        <a:ln w="9525" cmpd="sng">
          <a:noFill/>
        </a:ln>
      </xdr:spPr>
    </xdr:pic>
    <xdr:clientData/>
  </xdr:twoCellAnchor>
  <xdr:twoCellAnchor>
    <xdr:from>
      <xdr:col>0</xdr:col>
      <xdr:colOff>47625</xdr:colOff>
      <xdr:row>0</xdr:row>
      <xdr:rowOff>771525</xdr:rowOff>
    </xdr:from>
    <xdr:to>
      <xdr:col>0</xdr:col>
      <xdr:colOff>1600200</xdr:colOff>
      <xdr:row>0</xdr:row>
      <xdr:rowOff>1000125</xdr:rowOff>
    </xdr:to>
    <xdr:sp>
      <xdr:nvSpPr>
        <xdr:cNvPr id="2" name="Text Box 7"/>
        <xdr:cNvSpPr txBox="1">
          <a:spLocks noChangeArrowheads="1"/>
        </xdr:cNvSpPr>
      </xdr:nvSpPr>
      <xdr:spPr>
        <a:xfrm>
          <a:off x="47625" y="771525"/>
          <a:ext cx="1552575" cy="228600"/>
        </a:xfrm>
        <a:prstGeom prst="rect">
          <a:avLst/>
        </a:prstGeom>
        <a:solidFill>
          <a:srgbClr val="FFCC99"/>
        </a:solidFill>
        <a:ln w="9525" cmpd="sng">
          <a:noFill/>
        </a:ln>
      </xdr:spPr>
      <xdr:txBody>
        <a:bodyPr vertOverflow="clip" wrap="square" anchor="ctr"/>
        <a:p>
          <a:pPr algn="ctr">
            <a:defRPr/>
          </a:pPr>
          <a:r>
            <a:rPr lang="en-US" cap="none" sz="800" b="1" i="0" u="none" baseline="0">
              <a:solidFill>
                <a:srgbClr val="000000"/>
              </a:solidFill>
            </a:rPr>
            <a:t>Orange = Fixed values</a:t>
          </a:r>
        </a:p>
      </xdr:txBody>
    </xdr:sp>
    <xdr:clientData/>
  </xdr:twoCellAnchor>
  <xdr:twoCellAnchor>
    <xdr:from>
      <xdr:col>0</xdr:col>
      <xdr:colOff>1933575</xdr:colOff>
      <xdr:row>0</xdr:row>
      <xdr:rowOff>771525</xdr:rowOff>
    </xdr:from>
    <xdr:to>
      <xdr:col>0</xdr:col>
      <xdr:colOff>3667125</xdr:colOff>
      <xdr:row>0</xdr:row>
      <xdr:rowOff>1000125</xdr:rowOff>
    </xdr:to>
    <xdr:sp>
      <xdr:nvSpPr>
        <xdr:cNvPr id="3" name="Text Box 8"/>
        <xdr:cNvSpPr txBox="1">
          <a:spLocks noChangeArrowheads="1"/>
        </xdr:cNvSpPr>
      </xdr:nvSpPr>
      <xdr:spPr>
        <a:xfrm>
          <a:off x="1933575" y="771525"/>
          <a:ext cx="1733550" cy="228600"/>
        </a:xfrm>
        <a:prstGeom prst="rect">
          <a:avLst/>
        </a:prstGeom>
        <a:solidFill>
          <a:srgbClr val="CCFFFF"/>
        </a:solidFill>
        <a:ln w="9525" cmpd="sng">
          <a:noFill/>
        </a:ln>
      </xdr:spPr>
      <xdr:txBody>
        <a:bodyPr vertOverflow="clip" wrap="square" anchor="ctr"/>
        <a:p>
          <a:pPr algn="ctr">
            <a:defRPr/>
          </a:pPr>
          <a:r>
            <a:rPr lang="en-US" cap="none" sz="800" b="1" i="0" u="none" baseline="0">
              <a:solidFill>
                <a:srgbClr val="000000"/>
              </a:solidFill>
            </a:rPr>
            <a:t>Turquoise = User entries</a:t>
          </a:r>
        </a:p>
      </xdr:txBody>
    </xdr:sp>
    <xdr:clientData/>
  </xdr:twoCellAnchor>
  <xdr:twoCellAnchor>
    <xdr:from>
      <xdr:col>0</xdr:col>
      <xdr:colOff>4000500</xdr:colOff>
      <xdr:row>0</xdr:row>
      <xdr:rowOff>771525</xdr:rowOff>
    </xdr:from>
    <xdr:to>
      <xdr:col>1</xdr:col>
      <xdr:colOff>1190625</xdr:colOff>
      <xdr:row>0</xdr:row>
      <xdr:rowOff>1000125</xdr:rowOff>
    </xdr:to>
    <xdr:sp>
      <xdr:nvSpPr>
        <xdr:cNvPr id="4" name="Text Box 9"/>
        <xdr:cNvSpPr txBox="1">
          <a:spLocks noChangeArrowheads="1"/>
        </xdr:cNvSpPr>
      </xdr:nvSpPr>
      <xdr:spPr>
        <a:xfrm>
          <a:off x="4000500" y="771525"/>
          <a:ext cx="1724025" cy="228600"/>
        </a:xfrm>
        <a:prstGeom prst="rect">
          <a:avLst/>
        </a:prstGeom>
        <a:solidFill>
          <a:srgbClr val="FFFF99"/>
        </a:solidFill>
        <a:ln w="9525" cmpd="sng">
          <a:noFill/>
        </a:ln>
      </xdr:spPr>
      <xdr:txBody>
        <a:bodyPr vertOverflow="clip" wrap="square" anchor="ctr"/>
        <a:p>
          <a:pPr algn="ctr">
            <a:defRPr/>
          </a:pPr>
          <a:r>
            <a:rPr lang="en-US" cap="none" sz="800" b="1" i="0" u="none" baseline="0">
              <a:solidFill>
                <a:srgbClr val="000000"/>
              </a:solidFill>
            </a:rPr>
            <a:t>Yellow = Calculated values</a:t>
          </a:r>
        </a:p>
      </xdr:txBody>
    </xdr:sp>
    <xdr:clientData/>
  </xdr:twoCellAnchor>
  <xdr:twoCellAnchor>
    <xdr:from>
      <xdr:col>2</xdr:col>
      <xdr:colOff>0</xdr:colOff>
      <xdr:row>0</xdr:row>
      <xdr:rowOff>771525</xdr:rowOff>
    </xdr:from>
    <xdr:to>
      <xdr:col>2</xdr:col>
      <xdr:colOff>0</xdr:colOff>
      <xdr:row>0</xdr:row>
      <xdr:rowOff>1000125</xdr:rowOff>
    </xdr:to>
    <xdr:sp>
      <xdr:nvSpPr>
        <xdr:cNvPr id="5" name="Text Box 10"/>
        <xdr:cNvSpPr txBox="1">
          <a:spLocks noChangeArrowheads="1"/>
        </xdr:cNvSpPr>
      </xdr:nvSpPr>
      <xdr:spPr>
        <a:xfrm>
          <a:off x="6181725" y="771525"/>
          <a:ext cx="0" cy="228600"/>
        </a:xfrm>
        <a:prstGeom prst="rect">
          <a:avLst/>
        </a:prstGeom>
        <a:solidFill>
          <a:srgbClr val="FF0000"/>
        </a:solidFill>
        <a:ln w="9525" cmpd="sng">
          <a:noFill/>
        </a:ln>
      </xdr:spPr>
      <xdr:txBody>
        <a:bodyPr vertOverflow="clip" wrap="square" anchor="ctr"/>
        <a:p>
          <a:pPr algn="ctr">
            <a:defRPr/>
          </a:pPr>
          <a:r>
            <a:rPr lang="en-US" cap="none" sz="800" b="1" i="0" u="none" baseline="0">
              <a:solidFill>
                <a:srgbClr val="FFFFFF"/>
              </a:solidFill>
            </a:rPr>
            <a:t>Red = Ineligible result</a:t>
          </a:r>
        </a:p>
      </xdr:txBody>
    </xdr:sp>
    <xdr:clientData/>
  </xdr:twoCellAnchor>
  <xdr:twoCellAnchor>
    <xdr:from>
      <xdr:col>2</xdr:col>
      <xdr:colOff>1762125</xdr:colOff>
      <xdr:row>0</xdr:row>
      <xdr:rowOff>771525</xdr:rowOff>
    </xdr:from>
    <xdr:to>
      <xdr:col>2</xdr:col>
      <xdr:colOff>3314700</xdr:colOff>
      <xdr:row>0</xdr:row>
      <xdr:rowOff>1000125</xdr:rowOff>
    </xdr:to>
    <xdr:sp>
      <xdr:nvSpPr>
        <xdr:cNvPr id="6" name="Text Box 11"/>
        <xdr:cNvSpPr txBox="1">
          <a:spLocks noChangeArrowheads="1"/>
        </xdr:cNvSpPr>
      </xdr:nvSpPr>
      <xdr:spPr>
        <a:xfrm>
          <a:off x="7943850" y="771525"/>
          <a:ext cx="1552575" cy="228600"/>
        </a:xfrm>
        <a:prstGeom prst="rect">
          <a:avLst/>
        </a:prstGeom>
        <a:solidFill>
          <a:srgbClr val="CCFFCC"/>
        </a:solidFill>
        <a:ln w="9525" cmpd="sng">
          <a:noFill/>
        </a:ln>
      </xdr:spPr>
      <xdr:txBody>
        <a:bodyPr vertOverflow="clip" wrap="square" anchor="ctr"/>
        <a:p>
          <a:pPr algn="ctr">
            <a:defRPr/>
          </a:pPr>
          <a:r>
            <a:rPr lang="en-US" cap="none" sz="800" b="1" i="0" u="none" baseline="0">
              <a:solidFill>
                <a:srgbClr val="000000"/>
              </a:solidFill>
            </a:rPr>
            <a:t>Green = Eligible result</a:t>
          </a:r>
        </a:p>
      </xdr:txBody>
    </xdr:sp>
    <xdr:clientData/>
  </xdr:twoCellAnchor>
  <xdr:twoCellAnchor>
    <xdr:from>
      <xdr:col>1</xdr:col>
      <xdr:colOff>1524000</xdr:colOff>
      <xdr:row>0</xdr:row>
      <xdr:rowOff>771525</xdr:rowOff>
    </xdr:from>
    <xdr:to>
      <xdr:col>2</xdr:col>
      <xdr:colOff>1428750</xdr:colOff>
      <xdr:row>0</xdr:row>
      <xdr:rowOff>1000125</xdr:rowOff>
    </xdr:to>
    <xdr:sp>
      <xdr:nvSpPr>
        <xdr:cNvPr id="7" name="Text Box 35"/>
        <xdr:cNvSpPr txBox="1">
          <a:spLocks noChangeArrowheads="1"/>
        </xdr:cNvSpPr>
      </xdr:nvSpPr>
      <xdr:spPr>
        <a:xfrm>
          <a:off x="6057900" y="771525"/>
          <a:ext cx="1552575" cy="228600"/>
        </a:xfrm>
        <a:prstGeom prst="rect">
          <a:avLst/>
        </a:prstGeom>
        <a:solidFill>
          <a:srgbClr val="FF0000"/>
        </a:solidFill>
        <a:ln w="9525" cmpd="sng">
          <a:noFill/>
        </a:ln>
      </xdr:spPr>
      <xdr:txBody>
        <a:bodyPr vertOverflow="clip" wrap="square" anchor="ctr"/>
        <a:p>
          <a:pPr algn="ctr">
            <a:defRPr/>
          </a:pPr>
          <a:r>
            <a:rPr lang="en-US" cap="none" sz="800" b="1" i="0" u="none" baseline="0">
              <a:solidFill>
                <a:srgbClr val="FFFFFF"/>
              </a:solidFill>
            </a:rPr>
            <a:t>Red = Ineligible result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oleObject" Target="../embeddings/oleObject_2_5.bin" /><Relationship Id="rId8" Type="http://schemas.openxmlformats.org/officeDocument/2006/relationships/oleObject" Target="../embeddings/oleObject_2_6.bin" /><Relationship Id="rId9" Type="http://schemas.openxmlformats.org/officeDocument/2006/relationships/vmlDrawing" Target="../drawings/vmlDrawing2.vm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oleObject" Target="../embeddings/oleObject_4_0.bin" /><Relationship Id="rId3" Type="http://schemas.openxmlformats.org/officeDocument/2006/relationships/oleObject" Target="../embeddings/oleObject_4_1.bin" /><Relationship Id="rId4" Type="http://schemas.openxmlformats.org/officeDocument/2006/relationships/oleObject" Target="../embeddings/oleObject_4_2.bin" /><Relationship Id="rId5" Type="http://schemas.openxmlformats.org/officeDocument/2006/relationships/oleObject" Target="../embeddings/oleObject_4_3.bin" /><Relationship Id="rId6" Type="http://schemas.openxmlformats.org/officeDocument/2006/relationships/oleObject" Target="../embeddings/oleObject_4_4.bin" /><Relationship Id="rId7" Type="http://schemas.openxmlformats.org/officeDocument/2006/relationships/oleObject" Target="../embeddings/oleObject_4_5.bin" /><Relationship Id="rId8" Type="http://schemas.openxmlformats.org/officeDocument/2006/relationships/vmlDrawing" Target="../drawings/vmlDrawing3.vml" /><Relationship Id="rId9" Type="http://schemas.openxmlformats.org/officeDocument/2006/relationships/drawing" Target="../drawings/drawing3.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36"/>
  <sheetViews>
    <sheetView zoomScale="80" zoomScaleNormal="80" zoomScalePageLayoutView="0" workbookViewId="0" topLeftCell="A1">
      <selection activeCell="A3" sqref="A3"/>
    </sheetView>
  </sheetViews>
  <sheetFormatPr defaultColWidth="9.140625" defaultRowHeight="12.75"/>
  <cols>
    <col min="1" max="1" width="128.28125" style="1" customWidth="1"/>
    <col min="2" max="16384" width="9.140625" style="1" customWidth="1"/>
  </cols>
  <sheetData>
    <row r="1" ht="18" customHeight="1">
      <c r="A1" s="67"/>
    </row>
    <row r="2" s="66" customFormat="1" ht="30" customHeight="1">
      <c r="A2" s="99" t="s">
        <v>108</v>
      </c>
    </row>
    <row r="3" ht="18" customHeight="1">
      <c r="A3" s="68" t="s">
        <v>38</v>
      </c>
    </row>
    <row r="4" s="66" customFormat="1" ht="60" customHeight="1">
      <c r="A4" s="69" t="s">
        <v>63</v>
      </c>
    </row>
    <row r="5" ht="18" customHeight="1">
      <c r="A5" s="64"/>
    </row>
    <row r="6" s="10" customFormat="1" ht="24" customHeight="1">
      <c r="A6" s="68" t="s">
        <v>39</v>
      </c>
    </row>
    <row r="7" s="10" customFormat="1" ht="26.25" customHeight="1">
      <c r="A7" s="70" t="s">
        <v>62</v>
      </c>
    </row>
    <row r="8" s="10" customFormat="1" ht="12" customHeight="1">
      <c r="A8" s="70"/>
    </row>
    <row r="9" ht="41.25" customHeight="1">
      <c r="A9" s="71" t="s">
        <v>65</v>
      </c>
    </row>
    <row r="10" ht="12" customHeight="1">
      <c r="A10" s="72"/>
    </row>
    <row r="11" ht="18" customHeight="1">
      <c r="A11" s="71" t="s">
        <v>40</v>
      </c>
    </row>
    <row r="12" ht="12" customHeight="1">
      <c r="A12" s="69"/>
    </row>
    <row r="13" ht="18" customHeight="1">
      <c r="A13" s="71" t="s">
        <v>41</v>
      </c>
    </row>
    <row r="14" ht="12" customHeight="1">
      <c r="A14" s="69"/>
    </row>
    <row r="15" ht="18" customHeight="1">
      <c r="A15" s="71" t="s">
        <v>66</v>
      </c>
    </row>
    <row r="16" ht="12" customHeight="1">
      <c r="A16" s="69"/>
    </row>
    <row r="17" ht="42" customHeight="1">
      <c r="A17" s="71" t="s">
        <v>102</v>
      </c>
    </row>
    <row r="18" ht="12" customHeight="1">
      <c r="A18" s="69"/>
    </row>
    <row r="19" ht="36" customHeight="1">
      <c r="A19" s="71" t="s">
        <v>103</v>
      </c>
    </row>
    <row r="20" ht="12" customHeight="1">
      <c r="A20" s="69"/>
    </row>
    <row r="21" ht="36" customHeight="1">
      <c r="A21" s="71" t="s">
        <v>64</v>
      </c>
    </row>
    <row r="22" ht="12" customHeight="1">
      <c r="A22" s="69"/>
    </row>
    <row r="23" ht="42" customHeight="1">
      <c r="A23" s="71" t="s">
        <v>67</v>
      </c>
    </row>
    <row r="24" ht="12" customHeight="1">
      <c r="A24" s="69"/>
    </row>
    <row r="25" ht="42" customHeight="1">
      <c r="A25" s="71" t="s">
        <v>84</v>
      </c>
    </row>
    <row r="26" ht="12" customHeight="1">
      <c r="A26" s="69"/>
    </row>
    <row r="27" ht="36" customHeight="1">
      <c r="A27" s="69" t="s">
        <v>104</v>
      </c>
    </row>
    <row r="28" ht="12" customHeight="1">
      <c r="A28" s="69"/>
    </row>
    <row r="29" ht="36" customHeight="1">
      <c r="A29" s="69" t="s">
        <v>81</v>
      </c>
    </row>
    <row r="30" ht="12" customHeight="1">
      <c r="A30" s="69"/>
    </row>
    <row r="31" ht="18" customHeight="1">
      <c r="A31" s="71" t="s">
        <v>82</v>
      </c>
    </row>
    <row r="32" ht="12.75">
      <c r="A32" s="69"/>
    </row>
    <row r="33" ht="36" customHeight="1">
      <c r="A33" s="71" t="s">
        <v>83</v>
      </c>
    </row>
    <row r="34" ht="12" customHeight="1">
      <c r="A34" s="69"/>
    </row>
    <row r="35" ht="12.75">
      <c r="A35" s="69" t="s">
        <v>61</v>
      </c>
    </row>
    <row r="36" ht="12.75">
      <c r="A36" s="4"/>
    </row>
  </sheetData>
  <sheetProtection/>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H87"/>
  <sheetViews>
    <sheetView tabSelected="1" zoomScale="75" zoomScaleNormal="75" zoomScalePageLayoutView="0" workbookViewId="0" topLeftCell="A1">
      <selection activeCell="B10" sqref="B10"/>
    </sheetView>
  </sheetViews>
  <sheetFormatPr defaultColWidth="9.140625" defaultRowHeight="12.75"/>
  <cols>
    <col min="1" max="1" width="68.00390625" style="1" customWidth="1"/>
    <col min="2" max="2" width="24.7109375" style="1" customWidth="1"/>
    <col min="3" max="3" width="50.28125" style="1" customWidth="1"/>
    <col min="4" max="4" width="3.140625" style="1" customWidth="1"/>
    <col min="5" max="5" width="5.7109375" style="1" customWidth="1"/>
    <col min="6" max="7" width="9.140625" style="1" customWidth="1"/>
    <col min="8" max="8" width="11.00390625" style="1" customWidth="1"/>
    <col min="9" max="16384" width="9.140625" style="1" customWidth="1"/>
  </cols>
  <sheetData>
    <row r="1" spans="1:8" s="7" customFormat="1" ht="87" customHeight="1" thickBot="1">
      <c r="A1" s="119" t="s">
        <v>108</v>
      </c>
      <c r="B1" s="120"/>
      <c r="C1" s="120"/>
      <c r="D1" s="63"/>
      <c r="E1" s="63"/>
      <c r="F1" s="63"/>
      <c r="G1" s="63"/>
      <c r="H1" s="63"/>
    </row>
    <row r="2" spans="1:8" s="10" customFormat="1" ht="18" customHeight="1" thickTop="1">
      <c r="A2" s="54" t="s">
        <v>9</v>
      </c>
      <c r="B2" s="121" t="s">
        <v>8</v>
      </c>
      <c r="C2" s="122"/>
      <c r="D2" s="9"/>
      <c r="E2" s="9"/>
      <c r="F2" s="9"/>
      <c r="G2" s="9"/>
      <c r="H2" s="9"/>
    </row>
    <row r="3" spans="1:8" s="10" customFormat="1" ht="18" customHeight="1">
      <c r="A3" s="55" t="s">
        <v>10</v>
      </c>
      <c r="B3" s="123" t="s">
        <v>8</v>
      </c>
      <c r="C3" s="124"/>
      <c r="D3" s="9"/>
      <c r="E3" s="9"/>
      <c r="F3" s="9"/>
      <c r="G3" s="9"/>
      <c r="H3" s="9"/>
    </row>
    <row r="4" spans="1:3" s="10" customFormat="1" ht="18" customHeight="1" thickBot="1">
      <c r="A4" s="56" t="s">
        <v>0</v>
      </c>
      <c r="B4" s="125">
        <f ca="1">NOW()</f>
        <v>41757.41338726852</v>
      </c>
      <c r="C4" s="126"/>
    </row>
    <row r="5" spans="1:3" s="11" customFormat="1" ht="18" customHeight="1" thickBot="1" thickTop="1">
      <c r="A5" s="59" t="s">
        <v>12</v>
      </c>
      <c r="B5" s="73" t="s">
        <v>8</v>
      </c>
      <c r="C5" s="95" t="s">
        <v>42</v>
      </c>
    </row>
    <row r="6" spans="1:3" s="11" customFormat="1" ht="18" customHeight="1" thickTop="1">
      <c r="A6" s="57" t="s">
        <v>30</v>
      </c>
      <c r="B6" s="94" t="s">
        <v>2</v>
      </c>
      <c r="C6" s="58" t="s">
        <v>5</v>
      </c>
    </row>
    <row r="7" spans="1:3" s="10" customFormat="1" ht="18" customHeight="1">
      <c r="A7" s="59" t="s">
        <v>68</v>
      </c>
      <c r="B7" s="83" t="s">
        <v>47</v>
      </c>
      <c r="C7" s="12"/>
    </row>
    <row r="8" spans="1:3" s="10" customFormat="1" ht="18" customHeight="1">
      <c r="A8" s="59" t="s">
        <v>13</v>
      </c>
      <c r="B8" s="79">
        <v>1</v>
      </c>
      <c r="C8" s="92">
        <f>B8</f>
        <v>1</v>
      </c>
    </row>
    <row r="9" spans="1:3" s="10" customFormat="1" ht="18" customHeight="1">
      <c r="A9" s="59" t="s">
        <v>16</v>
      </c>
      <c r="B9" s="80">
        <v>2</v>
      </c>
      <c r="C9" s="12"/>
    </row>
    <row r="10" spans="1:3" s="10" customFormat="1" ht="18" customHeight="1">
      <c r="A10" s="59" t="s">
        <v>17</v>
      </c>
      <c r="B10" s="61">
        <f>IF(B8&gt;0,B9/B8,0)</f>
        <v>2</v>
      </c>
      <c r="C10" s="12"/>
    </row>
    <row r="11" spans="1:3" s="10" customFormat="1" ht="18" customHeight="1">
      <c r="A11" s="59" t="s">
        <v>14</v>
      </c>
      <c r="B11" s="97">
        <f>VLOOKUP(B$6,Lists!$A$15:$E$33,4)</f>
        <v>0.02</v>
      </c>
      <c r="C11" s="12"/>
    </row>
    <row r="12" spans="1:3" s="10" customFormat="1" ht="18" customHeight="1">
      <c r="A12" s="59" t="s">
        <v>18</v>
      </c>
      <c r="B12" s="62">
        <f>VLOOKUP(B7,Lists!$A$2:$B$11,2)</f>
        <v>25</v>
      </c>
      <c r="C12" s="12"/>
    </row>
    <row r="13" spans="1:3" s="10" customFormat="1" ht="18" customHeight="1">
      <c r="A13" s="59" t="s">
        <v>15</v>
      </c>
      <c r="B13" s="97">
        <f>VLOOKUP(B$6,Lists!$A$15:$E$33,5)</f>
        <v>0.1</v>
      </c>
      <c r="C13" s="12" t="s">
        <v>8</v>
      </c>
    </row>
    <row r="14" spans="1:3" s="10" customFormat="1" ht="18" customHeight="1">
      <c r="A14" s="59" t="s">
        <v>19</v>
      </c>
      <c r="B14" s="90">
        <f>VLOOKUP(B$6,Lists!$A$15:$E$33,2)</f>
        <v>77</v>
      </c>
      <c r="C14" s="12"/>
    </row>
    <row r="15" spans="1:3" s="10" customFormat="1" ht="18" customHeight="1" thickBot="1">
      <c r="A15" s="93" t="s">
        <v>20</v>
      </c>
      <c r="B15" s="89">
        <f>VLOOKUP(B$6,Lists!$A$15:$E$33,3)</f>
        <v>0.02</v>
      </c>
      <c r="C15" s="12"/>
    </row>
    <row r="16" spans="1:3" ht="6" customHeight="1" thickTop="1">
      <c r="A16" s="50"/>
      <c r="B16" s="44"/>
      <c r="C16" s="8"/>
    </row>
    <row r="17" spans="1:3" s="10" customFormat="1" ht="63" customHeight="1">
      <c r="A17" s="51" t="s">
        <v>21</v>
      </c>
      <c r="B17" s="49">
        <f>B10*B14*(B11*B12+B13)/B12</f>
        <v>3.6959999999999997</v>
      </c>
      <c r="C17" s="12"/>
    </row>
    <row r="18" spans="1:3" s="10" customFormat="1" ht="63" customHeight="1">
      <c r="A18" s="52" t="s">
        <v>22</v>
      </c>
      <c r="B18" s="46">
        <f>B10*B15*(B12*B11+B13)/B12</f>
        <v>0.00096</v>
      </c>
      <c r="C18" s="12"/>
    </row>
    <row r="19" spans="1:3" s="10" customFormat="1" ht="48" customHeight="1">
      <c r="A19" s="52" t="s">
        <v>43</v>
      </c>
      <c r="B19" s="47">
        <f>B17+100000*B18</f>
        <v>99.696</v>
      </c>
      <c r="C19" s="12"/>
    </row>
    <row r="20" spans="1:3" s="10" customFormat="1" ht="48" customHeight="1" thickBot="1">
      <c r="A20" s="53" t="s">
        <v>23</v>
      </c>
      <c r="B20" s="87">
        <f>B8*B19</f>
        <v>99.696</v>
      </c>
      <c r="C20" s="88">
        <f>B20</f>
        <v>99.696</v>
      </c>
    </row>
    <row r="21" spans="1:3" ht="72" customHeight="1" thickTop="1">
      <c r="A21" s="116"/>
      <c r="B21" s="86" t="s">
        <v>57</v>
      </c>
      <c r="C21" s="75">
        <f>IF(C8&gt;0,C20/C8,100.1)</f>
        <v>99.696</v>
      </c>
    </row>
    <row r="22" spans="1:3" ht="49.5" customHeight="1" thickBot="1">
      <c r="A22" s="117"/>
      <c r="B22" s="81" t="s">
        <v>6</v>
      </c>
      <c r="C22" s="42" t="str">
        <f>IF(C21&gt;100,"No","Yes")</f>
        <v>Yes</v>
      </c>
    </row>
    <row r="23" ht="20.25" thickTop="1">
      <c r="C23" s="100">
        <f>IF(B6=Lists!$A$19,"IMPORTANT: May only be used for projects registered between June 2006 and June 2009","")</f>
      </c>
    </row>
    <row r="24" spans="1:3" ht="19.5" customHeight="1">
      <c r="A24" s="118" t="s">
        <v>109</v>
      </c>
      <c r="B24" s="118"/>
      <c r="C24" s="118"/>
    </row>
    <row r="25" spans="1:3" s="10" customFormat="1" ht="27.75" customHeight="1">
      <c r="A25" s="128" t="s">
        <v>89</v>
      </c>
      <c r="B25" s="128"/>
      <c r="C25" s="128"/>
    </row>
    <row r="26" spans="1:3" ht="36" customHeight="1">
      <c r="A26" s="129" t="s">
        <v>24</v>
      </c>
      <c r="B26" s="129"/>
      <c r="C26" s="129"/>
    </row>
    <row r="41" spans="1:2" s="41" customFormat="1" ht="24" customHeight="1">
      <c r="A41" s="130" t="s">
        <v>79</v>
      </c>
      <c r="B41" s="130"/>
    </row>
    <row r="42" spans="1:2" s="2" customFormat="1" ht="18" customHeight="1">
      <c r="A42" s="131" t="s">
        <v>109</v>
      </c>
      <c r="B42" s="131"/>
    </row>
    <row r="43" ht="35.25" customHeight="1"/>
    <row r="44" spans="1:2" ht="18" customHeight="1">
      <c r="A44" s="65" t="s">
        <v>9</v>
      </c>
      <c r="B44" s="3" t="str">
        <f>IF(ISBLANK(B2),"",B2)</f>
        <v> </v>
      </c>
    </row>
    <row r="45" spans="1:2" ht="18" customHeight="1">
      <c r="A45" s="65" t="s">
        <v>10</v>
      </c>
      <c r="B45" s="82" t="str">
        <f>IF(ISBLANK(B3),"",B3)</f>
        <v> </v>
      </c>
    </row>
    <row r="46" spans="1:2" ht="18" customHeight="1">
      <c r="A46" s="65" t="s">
        <v>7</v>
      </c>
      <c r="B46" s="77">
        <f>B4</f>
        <v>41757.41338726852</v>
      </c>
    </row>
    <row r="47" ht="18" customHeight="1"/>
    <row r="48" ht="12.75">
      <c r="A48" s="3"/>
    </row>
    <row r="49" spans="1:2" s="10" customFormat="1" ht="18" customHeight="1">
      <c r="A49" s="40" t="s">
        <v>33</v>
      </c>
      <c r="B49" s="40" t="str">
        <f>IF($C$21&gt;100,"do not comply with the formula:","comply with the formula:")</f>
        <v>comply with the formula:</v>
      </c>
    </row>
    <row r="50" ht="12.75"/>
    <row r="51" ht="12.75"/>
    <row r="52" s="10" customFormat="1" ht="18" customHeight="1">
      <c r="A52" s="15" t="s">
        <v>34</v>
      </c>
    </row>
    <row r="53" spans="1:2" s="10" customFormat="1" ht="18" customHeight="1">
      <c r="A53" s="40" t="s">
        <v>35</v>
      </c>
      <c r="B53" s="40" t="str">
        <f>IF($C$21&gt;100,"do not comply with the formula:","comply with the formula:")</f>
        <v>comply with the formula:</v>
      </c>
    </row>
    <row r="54" ht="12.75"/>
    <row r="55" ht="12.75"/>
    <row r="56" ht="12.75"/>
    <row r="57" ht="12.75"/>
    <row r="59" ht="18" customHeight="1">
      <c r="A59" s="5" t="s">
        <v>32</v>
      </c>
    </row>
    <row r="60" spans="1:2" s="15" customFormat="1" ht="15">
      <c r="A60" s="15" t="s">
        <v>36</v>
      </c>
      <c r="B60" s="78">
        <f>$C$21</f>
        <v>99.696</v>
      </c>
    </row>
    <row r="62" spans="1:2" s="15" customFormat="1" ht="18" customHeight="1">
      <c r="A62" s="40" t="s">
        <v>105</v>
      </c>
      <c r="B62" s="40" t="str">
        <f>IF($C$21&gt;100,"does not qualify.","qualifies.")</f>
        <v>qualifies.</v>
      </c>
    </row>
    <row r="63" ht="36" customHeight="1"/>
    <row r="64" s="10" customFormat="1" ht="18" customHeight="1">
      <c r="A64" s="14" t="s">
        <v>26</v>
      </c>
    </row>
    <row r="65" s="10" customFormat="1" ht="18" customHeight="1">
      <c r="A65" s="15" t="s">
        <v>27</v>
      </c>
    </row>
    <row r="66" s="10" customFormat="1" ht="15.75" customHeight="1">
      <c r="A66" s="17" t="s">
        <v>80</v>
      </c>
    </row>
    <row r="67" s="10" customFormat="1" ht="15.75" customHeight="1">
      <c r="A67" s="17" t="s">
        <v>51</v>
      </c>
    </row>
    <row r="68" s="10" customFormat="1" ht="15.75" customHeight="1">
      <c r="A68" s="17" t="s">
        <v>71</v>
      </c>
    </row>
    <row r="69" s="10" customFormat="1" ht="15.75" customHeight="1">
      <c r="A69" s="17" t="s">
        <v>107</v>
      </c>
    </row>
    <row r="70" ht="18" customHeight="1"/>
    <row r="71" spans="1:2" ht="18" customHeight="1" thickBot="1">
      <c r="A71" s="16" t="s">
        <v>29</v>
      </c>
      <c r="B71" s="35"/>
    </row>
    <row r="72" spans="1:2" s="10" customFormat="1" ht="18" customHeight="1" thickBot="1" thickTop="1">
      <c r="A72" s="39"/>
      <c r="B72" s="85" t="str">
        <f>B6</f>
        <v>R-123</v>
      </c>
    </row>
    <row r="73" spans="1:2" s="10" customFormat="1" ht="18" customHeight="1" thickTop="1">
      <c r="A73" s="22" t="str">
        <f>A5</f>
        <v>Unit tag(s)</v>
      </c>
      <c r="B73" s="19" t="str">
        <f>IF(ISBLANK(B5),"",B5)</f>
        <v> </v>
      </c>
    </row>
    <row r="74" spans="1:2" s="10" customFormat="1" ht="18" customHeight="1">
      <c r="A74" s="29" t="str">
        <f aca="true" t="shared" si="0" ref="A74:B76">A8</f>
        <v>Capacity, tons (Qunit)</v>
      </c>
      <c r="B74" s="21">
        <f t="shared" si="0"/>
        <v>1</v>
      </c>
    </row>
    <row r="75" spans="1:2" s="10" customFormat="1" ht="18" customHeight="1">
      <c r="A75" s="29" t="str">
        <f t="shared" si="0"/>
        <v>Refrigerant charge, lb</v>
      </c>
      <c r="B75" s="21">
        <f t="shared" si="0"/>
        <v>2</v>
      </c>
    </row>
    <row r="76" spans="1:2" s="10" customFormat="1" ht="18" customHeight="1">
      <c r="A76" s="29" t="str">
        <f t="shared" si="0"/>
        <v>Refrigerant charge, lb/ton (Rc)</v>
      </c>
      <c r="B76" s="21">
        <f t="shared" si="0"/>
        <v>2</v>
      </c>
    </row>
    <row r="77" spans="1:2" s="10" customFormat="1" ht="18" customHeight="1">
      <c r="A77" s="29" t="str">
        <f>A14</f>
        <v>Global warming potential of refrigerant (GWPr)</v>
      </c>
      <c r="B77" s="21">
        <f>B14</f>
        <v>77</v>
      </c>
    </row>
    <row r="78" spans="1:2" s="10" customFormat="1" ht="18" customHeight="1" thickBot="1">
      <c r="A78" s="23" t="str">
        <f>A15</f>
        <v>Ozone depletion potential of refrigerant (ODPr)</v>
      </c>
      <c r="B78" s="25">
        <f>B15</f>
        <v>0.02</v>
      </c>
    </row>
    <row r="79" spans="1:2" ht="18" customHeight="1" thickTop="1">
      <c r="A79" s="30"/>
      <c r="B79" s="28"/>
    </row>
    <row r="80" spans="1:2" s="10" customFormat="1" ht="18" customHeight="1">
      <c r="A80" s="22" t="s">
        <v>28</v>
      </c>
      <c r="B80" s="27">
        <f>B19</f>
        <v>99.696</v>
      </c>
    </row>
    <row r="81" spans="1:2" ht="18" customHeight="1">
      <c r="A81" s="30"/>
      <c r="B81" s="31"/>
    </row>
    <row r="82" spans="1:2" s="10" customFormat="1" ht="18" customHeight="1" thickBot="1">
      <c r="A82" s="32" t="s">
        <v>25</v>
      </c>
      <c r="B82" s="33">
        <f>C8</f>
        <v>1</v>
      </c>
    </row>
    <row r="83" spans="1:2" ht="18" customHeight="1" thickTop="1">
      <c r="A83" s="8"/>
      <c r="B83" s="28"/>
    </row>
    <row r="84" spans="1:2" s="10" customFormat="1" ht="18" customHeight="1" thickBot="1">
      <c r="A84" s="34" t="s">
        <v>31</v>
      </c>
      <c r="B84" s="76">
        <f>C21</f>
        <v>99.696</v>
      </c>
    </row>
    <row r="85" spans="1:2" ht="36" customHeight="1" thickTop="1">
      <c r="A85" s="6" t="s">
        <v>8</v>
      </c>
      <c r="B85" s="1" t="s">
        <v>8</v>
      </c>
    </row>
    <row r="86" s="10" customFormat="1" ht="18" customHeight="1">
      <c r="A86" s="15" t="s">
        <v>37</v>
      </c>
    </row>
    <row r="87" spans="1:3" ht="111" customHeight="1">
      <c r="A87" s="127"/>
      <c r="B87" s="127"/>
      <c r="C87" s="100">
        <f>C23</f>
      </c>
    </row>
    <row r="88" ht="18" customHeight="1"/>
  </sheetData>
  <sheetProtection password="E9F9" sheet="1"/>
  <mergeCells count="11">
    <mergeCell ref="A87:B87"/>
    <mergeCell ref="A25:C25"/>
    <mergeCell ref="A26:C26"/>
    <mergeCell ref="A41:B41"/>
    <mergeCell ref="A42:B42"/>
    <mergeCell ref="A21:A22"/>
    <mergeCell ref="A24:C24"/>
    <mergeCell ref="A1:C1"/>
    <mergeCell ref="B2:C2"/>
    <mergeCell ref="B3:C3"/>
    <mergeCell ref="B4:C4"/>
  </mergeCells>
  <conditionalFormatting sqref="C22">
    <cfRule type="cellIs" priority="1" dxfId="3" operator="equal" stopIfTrue="1">
      <formula>"No"</formula>
    </cfRule>
    <cfRule type="cellIs" priority="2" dxfId="0" operator="equal" stopIfTrue="1">
      <formula>"Yes"</formula>
    </cfRule>
  </conditionalFormatting>
  <conditionalFormatting sqref="C21">
    <cfRule type="cellIs" priority="3" dxfId="1" operator="greaterThan" stopIfTrue="1">
      <formula>100</formula>
    </cfRule>
    <cfRule type="cellIs" priority="4" dxfId="0"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
      <formula1>0</formula1>
      <formula2>10000000</formula2>
    </dataValidation>
    <dataValidation type="list" allowBlank="1" showInputMessage="1" showErrorMessage="1" sqref="B7">
      <formula1>EquipType</formula1>
    </dataValidation>
    <dataValidation type="list" allowBlank="1" showInputMessage="1" showErrorMessage="1" sqref="B6">
      <formula1>Refrigerants</formula1>
    </dataValidation>
    <dataValidation type="decimal" allowBlank="1" showInputMessage="1" showErrorMessage="1" errorTitle="Enter 0" error="Please enter zero rather than pressing the space bar.&#10;OR&#10;Enter a number between zero and 100,000" sqref="B8">
      <formula1>0</formula1>
      <formula2>1000000</formula2>
    </dataValidation>
  </dataValidations>
  <printOptions/>
  <pageMargins left="0.75" right="0.75" top="1" bottom="1" header="0.5" footer="0.5"/>
  <pageSetup fitToHeight="2" horizontalDpi="600" verticalDpi="600" orientation="portrait" paperSize="195" scale="64" r:id="rId10"/>
  <rowBreaks count="1" manualBreakCount="1">
    <brk id="39" max="255" man="1"/>
  </rowBreaks>
  <drawing r:id="rId9"/>
  <legacyDrawing r:id="rId8"/>
  <oleObjects>
    <oleObject progId="Equation.3" shapeId="1725748" r:id="rId2"/>
    <oleObject progId="Equation.3" shapeId="1725749" r:id="rId3"/>
    <oleObject progId="Equation.3" shapeId="1725750" r:id="rId4"/>
    <oleObject progId="Equation.3" shapeId="1725751" r:id="rId5"/>
    <oleObject progId="Equation.3" shapeId="1725752" r:id="rId6"/>
    <oleObject progId="Equation.3" shapeId="1725753" r:id="rId7"/>
  </oleObjects>
</worksheet>
</file>

<file path=xl/worksheets/sheet3.xml><?xml version="1.0" encoding="utf-8"?>
<worksheet xmlns="http://schemas.openxmlformats.org/spreadsheetml/2006/main" xmlns:r="http://schemas.openxmlformats.org/officeDocument/2006/relationships">
  <sheetPr>
    <pageSetUpPr fitToPage="1"/>
  </sheetPr>
  <dimension ref="A1:M88"/>
  <sheetViews>
    <sheetView zoomScale="75" zoomScaleNormal="75" zoomScalePageLayoutView="0" workbookViewId="0" topLeftCell="A1">
      <selection activeCell="B11" sqref="B11"/>
    </sheetView>
  </sheetViews>
  <sheetFormatPr defaultColWidth="9.140625" defaultRowHeight="12.75"/>
  <cols>
    <col min="1" max="1" width="68.00390625" style="1" customWidth="1"/>
    <col min="2" max="7" width="24.7109375" style="1" customWidth="1"/>
    <col min="8" max="8" width="17.00390625" style="1" customWidth="1"/>
    <col min="9" max="9" width="3.140625" style="1" customWidth="1"/>
    <col min="10" max="10" width="5.7109375" style="1" customWidth="1"/>
    <col min="11" max="12" width="9.140625" style="1" customWidth="1"/>
    <col min="13" max="13" width="11.00390625" style="1" customWidth="1"/>
    <col min="14" max="16384" width="9.140625" style="1" customWidth="1"/>
  </cols>
  <sheetData>
    <row r="1" spans="1:13" s="7" customFormat="1" ht="87" customHeight="1" thickBot="1">
      <c r="A1" s="119" t="s">
        <v>108</v>
      </c>
      <c r="B1" s="120"/>
      <c r="C1" s="120"/>
      <c r="D1" s="120"/>
      <c r="E1" s="120"/>
      <c r="F1" s="120"/>
      <c r="G1" s="120"/>
      <c r="H1" s="120"/>
      <c r="I1" s="63"/>
      <c r="J1" s="63"/>
      <c r="K1" s="63"/>
      <c r="L1" s="63"/>
      <c r="M1" s="63"/>
    </row>
    <row r="2" spans="1:13" s="10" customFormat="1" ht="18" customHeight="1" thickTop="1">
      <c r="A2" s="54" t="s">
        <v>9</v>
      </c>
      <c r="B2" s="121" t="s">
        <v>8</v>
      </c>
      <c r="C2" s="122"/>
      <c r="D2" s="122"/>
      <c r="E2" s="122"/>
      <c r="F2" s="122"/>
      <c r="G2" s="122"/>
      <c r="H2" s="122"/>
      <c r="I2" s="9"/>
      <c r="J2" s="9"/>
      <c r="K2" s="9"/>
      <c r="L2" s="9"/>
      <c r="M2" s="9"/>
    </row>
    <row r="3" spans="1:13" s="10" customFormat="1" ht="18" customHeight="1">
      <c r="A3" s="55" t="s">
        <v>10</v>
      </c>
      <c r="B3" s="123" t="s">
        <v>8</v>
      </c>
      <c r="C3" s="124"/>
      <c r="D3" s="124"/>
      <c r="E3" s="124"/>
      <c r="F3" s="124"/>
      <c r="G3" s="124"/>
      <c r="H3" s="124"/>
      <c r="I3" s="9"/>
      <c r="J3" s="9"/>
      <c r="K3" s="9"/>
      <c r="L3" s="9"/>
      <c r="M3" s="9"/>
    </row>
    <row r="4" spans="1:8" s="10" customFormat="1" ht="18" customHeight="1" thickBot="1">
      <c r="A4" s="56" t="s">
        <v>0</v>
      </c>
      <c r="B4" s="125">
        <f ca="1">NOW()</f>
        <v>41757.41338726852</v>
      </c>
      <c r="C4" s="126"/>
      <c r="D4" s="126"/>
      <c r="E4" s="126"/>
      <c r="F4" s="126"/>
      <c r="G4" s="126"/>
      <c r="H4" s="126"/>
    </row>
    <row r="5" spans="1:8" s="11" customFormat="1" ht="18" customHeight="1" thickBot="1" thickTop="1">
      <c r="A5" s="59" t="s">
        <v>12</v>
      </c>
      <c r="B5" s="73" t="s">
        <v>8</v>
      </c>
      <c r="C5" s="73" t="s">
        <v>8</v>
      </c>
      <c r="D5" s="73" t="s">
        <v>8</v>
      </c>
      <c r="E5" s="73" t="s">
        <v>8</v>
      </c>
      <c r="F5" s="73" t="s">
        <v>8</v>
      </c>
      <c r="G5" s="74" t="s">
        <v>8</v>
      </c>
      <c r="H5" s="91" t="s">
        <v>42</v>
      </c>
    </row>
    <row r="6" spans="1:11" s="11" customFormat="1" ht="18" customHeight="1" thickTop="1">
      <c r="A6" s="57" t="s">
        <v>30</v>
      </c>
      <c r="B6" s="94" t="s">
        <v>2</v>
      </c>
      <c r="C6" s="94" t="s">
        <v>2</v>
      </c>
      <c r="D6" s="94" t="s">
        <v>1</v>
      </c>
      <c r="E6" s="94" t="s">
        <v>60</v>
      </c>
      <c r="F6" s="94" t="s">
        <v>53</v>
      </c>
      <c r="G6" s="94" t="s">
        <v>52</v>
      </c>
      <c r="H6" s="58" t="s">
        <v>5</v>
      </c>
      <c r="K6" s="11">
        <f>IF(OR(B6=Lists!A19,C7=Lists!A19,C8=Lists!A19,C9=Lists!A19,C10=Lists!A19,C11=Lists!A19),1,0)</f>
        <v>0</v>
      </c>
    </row>
    <row r="7" spans="1:8" s="10" customFormat="1" ht="18" customHeight="1">
      <c r="A7" s="59" t="s">
        <v>68</v>
      </c>
      <c r="B7" s="83" t="s">
        <v>47</v>
      </c>
      <c r="C7" s="83" t="s">
        <v>47</v>
      </c>
      <c r="D7" s="83" t="s">
        <v>45</v>
      </c>
      <c r="E7" s="83" t="s">
        <v>46</v>
      </c>
      <c r="F7" s="83" t="s">
        <v>76</v>
      </c>
      <c r="G7" s="83" t="s">
        <v>50</v>
      </c>
      <c r="H7" s="12"/>
    </row>
    <row r="8" spans="1:8" s="10" customFormat="1" ht="18" customHeight="1">
      <c r="A8" s="59" t="s">
        <v>13</v>
      </c>
      <c r="B8" s="79">
        <v>1000</v>
      </c>
      <c r="C8" s="79">
        <v>0</v>
      </c>
      <c r="D8" s="79">
        <v>0</v>
      </c>
      <c r="E8" s="79">
        <v>0</v>
      </c>
      <c r="F8" s="79">
        <v>0</v>
      </c>
      <c r="G8" s="79">
        <v>0</v>
      </c>
      <c r="H8" s="43">
        <f>(B8*B10)+(C8*C10)+(D8*D10)+(E8*E10)+(F8*F10)+(G8*G10)</f>
        <v>1000</v>
      </c>
    </row>
    <row r="9" spans="1:8" s="10" customFormat="1" ht="18" customHeight="1">
      <c r="A9" s="59" t="s">
        <v>16</v>
      </c>
      <c r="B9" s="80">
        <v>400</v>
      </c>
      <c r="C9" s="80">
        <v>0</v>
      </c>
      <c r="D9" s="80">
        <v>0</v>
      </c>
      <c r="E9" s="80">
        <v>0</v>
      </c>
      <c r="F9" s="80">
        <v>0</v>
      </c>
      <c r="G9" s="80">
        <v>0</v>
      </c>
      <c r="H9" s="12"/>
    </row>
    <row r="10" spans="1:8" s="10" customFormat="1" ht="18" customHeight="1">
      <c r="A10" s="59" t="s">
        <v>77</v>
      </c>
      <c r="B10" s="98">
        <v>1</v>
      </c>
      <c r="C10" s="98">
        <v>1</v>
      </c>
      <c r="D10" s="98">
        <v>1</v>
      </c>
      <c r="E10" s="98">
        <v>1</v>
      </c>
      <c r="F10" s="98">
        <v>1</v>
      </c>
      <c r="G10" s="98">
        <v>1</v>
      </c>
      <c r="H10" s="12"/>
    </row>
    <row r="11" spans="1:8" s="10" customFormat="1" ht="18" customHeight="1">
      <c r="A11" s="59" t="s">
        <v>17</v>
      </c>
      <c r="B11" s="61">
        <f>IF(B8&gt;0,(B9*B10)/(B8*B10),0)</f>
        <v>0.4</v>
      </c>
      <c r="C11" s="61">
        <f>IF(C8&gt;0,C9/C8,0)</f>
        <v>0</v>
      </c>
      <c r="D11" s="61">
        <f>IF(D8&gt;0,D9/D8,0)</f>
        <v>0</v>
      </c>
      <c r="E11" s="61">
        <f>IF(E8&gt;0,E9/E8,0)</f>
        <v>0</v>
      </c>
      <c r="F11" s="61">
        <f>IF(F8&gt;0,F9/F8,0)</f>
        <v>0</v>
      </c>
      <c r="G11" s="61">
        <f>IF(G8&gt;0,G9/G8,0)</f>
        <v>0</v>
      </c>
      <c r="H11" s="12"/>
    </row>
    <row r="12" spans="1:8" s="10" customFormat="1" ht="18" customHeight="1">
      <c r="A12" s="59" t="s">
        <v>14</v>
      </c>
      <c r="B12" s="97">
        <f>VLOOKUP(B$6,Lists!$A$15:$E$33,4)</f>
        <v>0.02</v>
      </c>
      <c r="C12" s="97">
        <f>VLOOKUP(C$6,Lists!$A$15:$E$33,4)</f>
        <v>0.02</v>
      </c>
      <c r="D12" s="97">
        <f>VLOOKUP(D$6,Lists!$A$15:$E$33,4)</f>
        <v>0.02</v>
      </c>
      <c r="E12" s="97">
        <f>VLOOKUP(E$6,Lists!$A$15:$E$33,4)</f>
        <v>0.02</v>
      </c>
      <c r="F12" s="97">
        <f>VLOOKUP(F$6,Lists!$A$15:$E$33,4)</f>
        <v>0.02</v>
      </c>
      <c r="G12" s="97">
        <f>VLOOKUP(G$6,Lists!$A$15:$E$33,4)</f>
        <v>0.02</v>
      </c>
      <c r="H12" s="12"/>
    </row>
    <row r="13" spans="1:8" s="10" customFormat="1" ht="18" customHeight="1">
      <c r="A13" s="59" t="s">
        <v>18</v>
      </c>
      <c r="B13" s="62">
        <f>VLOOKUP(B7,Lists!$A$2:$B$11,2)</f>
        <v>25</v>
      </c>
      <c r="C13" s="62">
        <f>VLOOKUP(C7,Lists!$A$2:$B$11,2)</f>
        <v>25</v>
      </c>
      <c r="D13" s="62">
        <f>VLOOKUP(D7,Lists!$A$2:$B$11,2)</f>
        <v>25</v>
      </c>
      <c r="E13" s="62">
        <f>VLOOKUP(E7,Lists!$A$2:$B$11,2)</f>
        <v>23</v>
      </c>
      <c r="F13" s="62">
        <f>VLOOKUP(F7,Lists!$A$2:$B$11,2)</f>
        <v>20</v>
      </c>
      <c r="G13" s="62">
        <f>VLOOKUP(G7,Lists!$A$2:$B$11,2)</f>
        <v>15</v>
      </c>
      <c r="H13" s="12"/>
    </row>
    <row r="14" spans="1:8" s="10" customFormat="1" ht="18" customHeight="1">
      <c r="A14" s="59" t="s">
        <v>15</v>
      </c>
      <c r="B14" s="97">
        <f>VLOOKUP(B$6,Lists!$A$15:$E$33,5)</f>
        <v>0.1</v>
      </c>
      <c r="C14" s="97">
        <f>VLOOKUP(C$6,Lists!$A$15:$E$33,5)</f>
        <v>0.1</v>
      </c>
      <c r="D14" s="97">
        <f>VLOOKUP(D$6,Lists!$A$15:$E$33,5)</f>
        <v>0.1</v>
      </c>
      <c r="E14" s="97">
        <f>VLOOKUP(E$6,Lists!$A$15:$E$33,5)</f>
        <v>0.1</v>
      </c>
      <c r="F14" s="97">
        <f>VLOOKUP(F$6,Lists!$A$15:$E$33,5)</f>
        <v>0.1</v>
      </c>
      <c r="G14" s="97">
        <f>VLOOKUP(G$6,Lists!$A$15:$E$33,5)</f>
        <v>0.1</v>
      </c>
      <c r="H14" s="12"/>
    </row>
    <row r="15" spans="1:8" s="10" customFormat="1" ht="18" customHeight="1">
      <c r="A15" s="59" t="s">
        <v>19</v>
      </c>
      <c r="B15" s="90">
        <f>VLOOKUP(B$6,Lists!$A$15:$E$33,2)</f>
        <v>77</v>
      </c>
      <c r="C15" s="90">
        <f>VLOOKUP(C$6,Lists!$A$15:$E$33,2)</f>
        <v>77</v>
      </c>
      <c r="D15" s="90">
        <f>VLOOKUP(D$6,Lists!$A$15:$E$33,2)</f>
        <v>1810</v>
      </c>
      <c r="E15" s="90">
        <f>VLOOKUP(E$6,Lists!$A$15:$E$33,2)</f>
        <v>4000</v>
      </c>
      <c r="F15" s="90">
        <f>VLOOKUP(F$6,Lists!$A$15:$E$33,2)</f>
        <v>1770</v>
      </c>
      <c r="G15" s="90">
        <f>VLOOKUP(G$6,Lists!$A$15:$E$33,2)</f>
        <v>2080</v>
      </c>
      <c r="H15" s="12"/>
    </row>
    <row r="16" spans="1:8" s="10" customFormat="1" ht="18" customHeight="1" thickBot="1">
      <c r="A16" s="60" t="s">
        <v>20</v>
      </c>
      <c r="B16" s="89">
        <f>VLOOKUP(B$6,Lists!$A$15:$E$33,3)</f>
        <v>0.02</v>
      </c>
      <c r="C16" s="89">
        <f>VLOOKUP(C$6,Lists!$A$15:$E$33,3)</f>
        <v>0.02</v>
      </c>
      <c r="D16" s="89">
        <f>VLOOKUP(D$6,Lists!$A$15:$E$33,3)</f>
        <v>0.04</v>
      </c>
      <c r="E16" s="89">
        <f>VLOOKUP(E$6,Lists!$A$15:$E$33,3)</f>
        <v>0</v>
      </c>
      <c r="F16" s="89">
        <f>VLOOKUP(F$6,Lists!$A$15:$E$33,3)</f>
        <v>0</v>
      </c>
      <c r="G16" s="89">
        <f>VLOOKUP(G$6,Lists!$A$15:$E$33,3)</f>
        <v>0</v>
      </c>
      <c r="H16" s="12"/>
    </row>
    <row r="17" spans="1:8" ht="6" customHeight="1" thickTop="1">
      <c r="A17" s="50"/>
      <c r="B17" s="44"/>
      <c r="C17" s="44"/>
      <c r="D17" s="44"/>
      <c r="E17" s="44"/>
      <c r="F17" s="44"/>
      <c r="G17" s="45"/>
      <c r="H17" s="8"/>
    </row>
    <row r="18" spans="1:8" s="10" customFormat="1" ht="63" customHeight="1">
      <c r="A18" s="51" t="s">
        <v>21</v>
      </c>
      <c r="B18" s="49">
        <f aca="true" t="shared" si="0" ref="B18:G18">B11*B15*(B12*B13+B14)/B13</f>
        <v>0.7392</v>
      </c>
      <c r="C18" s="49">
        <f t="shared" si="0"/>
        <v>0</v>
      </c>
      <c r="D18" s="49">
        <f t="shared" si="0"/>
        <v>0</v>
      </c>
      <c r="E18" s="49">
        <f t="shared" si="0"/>
        <v>0</v>
      </c>
      <c r="F18" s="49">
        <f t="shared" si="0"/>
        <v>0</v>
      </c>
      <c r="G18" s="49">
        <f t="shared" si="0"/>
        <v>0</v>
      </c>
      <c r="H18" s="12"/>
    </row>
    <row r="19" spans="1:8" s="10" customFormat="1" ht="63" customHeight="1">
      <c r="A19" s="52" t="s">
        <v>22</v>
      </c>
      <c r="B19" s="46">
        <f aca="true" t="shared" si="1" ref="B19:G19">B11*B16*(B13*B12+B14)/B13</f>
        <v>0.00019199999999999998</v>
      </c>
      <c r="C19" s="46">
        <f t="shared" si="1"/>
        <v>0</v>
      </c>
      <c r="D19" s="46">
        <f t="shared" si="1"/>
        <v>0</v>
      </c>
      <c r="E19" s="46">
        <f t="shared" si="1"/>
        <v>0</v>
      </c>
      <c r="F19" s="46">
        <f t="shared" si="1"/>
        <v>0</v>
      </c>
      <c r="G19" s="46">
        <f t="shared" si="1"/>
        <v>0</v>
      </c>
      <c r="H19" s="12"/>
    </row>
    <row r="20" spans="1:8" s="10" customFormat="1" ht="48" customHeight="1">
      <c r="A20" s="52" t="s">
        <v>43</v>
      </c>
      <c r="B20" s="47">
        <f aca="true" t="shared" si="2" ref="B20:G20">B18+100000*B19</f>
        <v>19.9392</v>
      </c>
      <c r="C20" s="47">
        <f t="shared" si="2"/>
        <v>0</v>
      </c>
      <c r="D20" s="47">
        <f t="shared" si="2"/>
        <v>0</v>
      </c>
      <c r="E20" s="47">
        <f t="shared" si="2"/>
        <v>0</v>
      </c>
      <c r="F20" s="47">
        <f t="shared" si="2"/>
        <v>0</v>
      </c>
      <c r="G20" s="47">
        <f t="shared" si="2"/>
        <v>0</v>
      </c>
      <c r="H20" s="12"/>
    </row>
    <row r="21" spans="1:8" s="10" customFormat="1" ht="48" customHeight="1" thickBot="1">
      <c r="A21" s="53" t="s">
        <v>23</v>
      </c>
      <c r="B21" s="48">
        <f aca="true" t="shared" si="3" ref="B21:G21">B8*B10*B20</f>
        <v>19939.2</v>
      </c>
      <c r="C21" s="48">
        <f t="shared" si="3"/>
        <v>0</v>
      </c>
      <c r="D21" s="48">
        <f t="shared" si="3"/>
        <v>0</v>
      </c>
      <c r="E21" s="48">
        <f t="shared" si="3"/>
        <v>0</v>
      </c>
      <c r="F21" s="48">
        <f t="shared" si="3"/>
        <v>0</v>
      </c>
      <c r="G21" s="48">
        <f t="shared" si="3"/>
        <v>0</v>
      </c>
      <c r="H21" s="13">
        <f>SUM(B21:G21)</f>
        <v>19939.2</v>
      </c>
    </row>
    <row r="22" spans="1:8" ht="72" customHeight="1" thickTop="1">
      <c r="A22" s="116"/>
      <c r="B22" s="135" t="s">
        <v>11</v>
      </c>
      <c r="C22" s="135"/>
      <c r="D22" s="135"/>
      <c r="E22" s="135"/>
      <c r="F22" s="135"/>
      <c r="G22" s="136"/>
      <c r="H22" s="75">
        <f>IF(H8&gt;0,H21/H8,100.1)</f>
        <v>19.9392</v>
      </c>
    </row>
    <row r="23" spans="1:8" ht="49.5" customHeight="1" thickBot="1">
      <c r="A23" s="117"/>
      <c r="B23" s="137" t="s">
        <v>6</v>
      </c>
      <c r="C23" s="137"/>
      <c r="D23" s="137"/>
      <c r="E23" s="137"/>
      <c r="F23" s="137"/>
      <c r="G23" s="137"/>
      <c r="H23" s="42" t="str">
        <f>IF(H22&gt;100,"No","Yes")</f>
        <v>Yes</v>
      </c>
    </row>
    <row r="24" spans="6:8" ht="54.75" customHeight="1" thickTop="1">
      <c r="F24" s="134">
        <f>IF(K6,"IMPORTANT: May only be used for projects registered between June 2006 and June 2009","")</f>
      </c>
      <c r="G24" s="134"/>
      <c r="H24" s="134"/>
    </row>
    <row r="25" spans="1:8" ht="19.5" customHeight="1">
      <c r="A25" s="118" t="s">
        <v>109</v>
      </c>
      <c r="B25" s="118"/>
      <c r="C25" s="118"/>
      <c r="D25" s="118"/>
      <c r="E25" s="118"/>
      <c r="F25" s="118"/>
      <c r="G25" s="118"/>
      <c r="H25" s="118"/>
    </row>
    <row r="26" spans="1:8" s="10" customFormat="1" ht="27.75" customHeight="1">
      <c r="A26" s="128" t="s">
        <v>89</v>
      </c>
      <c r="B26" s="128"/>
      <c r="C26" s="128"/>
      <c r="D26" s="128"/>
      <c r="E26" s="128"/>
      <c r="F26" s="128"/>
      <c r="G26" s="128"/>
      <c r="H26" s="128"/>
    </row>
    <row r="27" spans="1:8" ht="36" customHeight="1">
      <c r="A27" s="129" t="s">
        <v>24</v>
      </c>
      <c r="B27" s="129"/>
      <c r="C27" s="129"/>
      <c r="D27" s="129"/>
      <c r="E27" s="129"/>
      <c r="F27" s="129"/>
      <c r="G27" s="129"/>
      <c r="H27" s="129"/>
    </row>
    <row r="42" spans="1:7" s="41" customFormat="1" ht="24" customHeight="1">
      <c r="A42" s="130" t="s">
        <v>79</v>
      </c>
      <c r="B42" s="130"/>
      <c r="C42" s="130"/>
      <c r="D42" s="130"/>
      <c r="E42" s="130"/>
      <c r="F42" s="130"/>
      <c r="G42" s="130"/>
    </row>
    <row r="43" spans="1:7" s="2" customFormat="1" ht="18" customHeight="1">
      <c r="A43" s="131" t="s">
        <v>109</v>
      </c>
      <c r="B43" s="131"/>
      <c r="C43" s="131"/>
      <c r="D43" s="131"/>
      <c r="E43" s="131"/>
      <c r="F43" s="131"/>
      <c r="G43" s="131"/>
    </row>
    <row r="44" ht="35.25" customHeight="1"/>
    <row r="45" spans="1:7" ht="18" customHeight="1">
      <c r="A45" s="65" t="s">
        <v>9</v>
      </c>
      <c r="B45" s="132" t="str">
        <f>IF(ISBLANK(B2),"",B2)</f>
        <v> </v>
      </c>
      <c r="C45" s="132"/>
      <c r="D45" s="132"/>
      <c r="E45" s="132"/>
      <c r="F45" s="132"/>
      <c r="G45" s="132"/>
    </row>
    <row r="46" spans="1:7" ht="18" customHeight="1">
      <c r="A46" s="65" t="s">
        <v>10</v>
      </c>
      <c r="B46" s="133" t="str">
        <f>IF(ISBLANK(B3),"",B3)</f>
        <v> </v>
      </c>
      <c r="C46" s="133"/>
      <c r="D46" s="133"/>
      <c r="E46" s="133"/>
      <c r="F46" s="133"/>
      <c r="G46" s="133"/>
    </row>
    <row r="47" spans="1:2" ht="18" customHeight="1">
      <c r="A47" s="65" t="s">
        <v>7</v>
      </c>
      <c r="B47" s="77">
        <f>B4</f>
        <v>41757.41338726852</v>
      </c>
    </row>
    <row r="48" ht="18" customHeight="1"/>
    <row r="49" ht="12.75">
      <c r="A49" s="3"/>
    </row>
    <row r="50" spans="1:2" s="10" customFormat="1" ht="18" customHeight="1">
      <c r="A50" s="40" t="s">
        <v>33</v>
      </c>
      <c r="B50" s="40" t="str">
        <f>IF($H$22&gt;100,"do not comply with the formula:","comply with the formula:")</f>
        <v>comply with the formula:</v>
      </c>
    </row>
    <row r="51" ht="12.75"/>
    <row r="52" ht="12.75"/>
    <row r="53" s="10" customFormat="1" ht="18" customHeight="1">
      <c r="A53" s="15" t="s">
        <v>34</v>
      </c>
    </row>
    <row r="54" spans="1:2" s="10" customFormat="1" ht="18" customHeight="1">
      <c r="A54" s="40" t="s">
        <v>35</v>
      </c>
      <c r="B54" s="40" t="str">
        <f>IF($H$22&gt;100,"do not comply with the formula:","comply with the formula:")</f>
        <v>comply with the formula:</v>
      </c>
    </row>
    <row r="55" ht="12.75"/>
    <row r="56" ht="12.75"/>
    <row r="57" ht="12.75"/>
    <row r="58" ht="12.75"/>
    <row r="60" ht="18" customHeight="1">
      <c r="A60" s="5" t="s">
        <v>32</v>
      </c>
    </row>
    <row r="61" spans="1:2" s="15" customFormat="1" ht="15">
      <c r="A61" s="15" t="s">
        <v>36</v>
      </c>
      <c r="B61" s="78">
        <f>$H$22</f>
        <v>19.9392</v>
      </c>
    </row>
    <row r="63" spans="1:2" s="15" customFormat="1" ht="18" customHeight="1">
      <c r="A63" s="40" t="s">
        <v>105</v>
      </c>
      <c r="B63" s="40" t="str">
        <f>IF($H$22&gt;100,"does not qualify.","qualifies.")</f>
        <v>qualifies.</v>
      </c>
    </row>
    <row r="64" ht="36" customHeight="1"/>
    <row r="65" s="10" customFormat="1" ht="18" customHeight="1">
      <c r="A65" s="14" t="s">
        <v>26</v>
      </c>
    </row>
    <row r="66" s="10" customFormat="1" ht="18" customHeight="1">
      <c r="A66" s="15" t="s">
        <v>27</v>
      </c>
    </row>
    <row r="67" s="10" customFormat="1" ht="15.75" customHeight="1">
      <c r="A67" s="17" t="s">
        <v>80</v>
      </c>
    </row>
    <row r="68" s="10" customFormat="1" ht="15.75" customHeight="1">
      <c r="A68" s="17" t="s">
        <v>51</v>
      </c>
    </row>
    <row r="69" s="10" customFormat="1" ht="15.75" customHeight="1">
      <c r="A69" s="17" t="s">
        <v>71</v>
      </c>
    </row>
    <row r="70" s="10" customFormat="1" ht="15.75" customHeight="1">
      <c r="A70" s="17" t="s">
        <v>106</v>
      </c>
    </row>
    <row r="71" ht="18" customHeight="1"/>
    <row r="72" spans="1:7" ht="18" customHeight="1" thickBot="1">
      <c r="A72" s="16" t="s">
        <v>29</v>
      </c>
      <c r="B72" s="35"/>
      <c r="C72" s="8"/>
      <c r="D72" s="8"/>
      <c r="E72" s="8"/>
      <c r="F72" s="8"/>
      <c r="G72" s="8"/>
    </row>
    <row r="73" spans="1:7" s="10" customFormat="1" ht="18" customHeight="1" thickBot="1" thickTop="1">
      <c r="A73" s="39"/>
      <c r="B73" s="36" t="str">
        <f aca="true" t="shared" si="4" ref="B73:G73">B6</f>
        <v>R-123</v>
      </c>
      <c r="C73" s="37" t="str">
        <f t="shared" si="4"/>
        <v>R-123</v>
      </c>
      <c r="D73" s="37" t="str">
        <f t="shared" si="4"/>
        <v>R-22</v>
      </c>
      <c r="E73" s="37" t="str">
        <f t="shared" si="4"/>
        <v>Water</v>
      </c>
      <c r="F73" s="37" t="str">
        <f t="shared" si="4"/>
        <v>R-407c</v>
      </c>
      <c r="G73" s="38" t="str">
        <f t="shared" si="4"/>
        <v>R-410a</v>
      </c>
    </row>
    <row r="74" spans="1:7" s="10" customFormat="1" ht="18" customHeight="1" thickTop="1">
      <c r="A74" s="22" t="str">
        <f>A5</f>
        <v>Unit tag(s)</v>
      </c>
      <c r="B74" s="18" t="str">
        <f aca="true" t="shared" si="5" ref="B74:G74">IF(ISBLANK(B5),"",B5)</f>
        <v> </v>
      </c>
      <c r="C74" s="18" t="str">
        <f t="shared" si="5"/>
        <v> </v>
      </c>
      <c r="D74" s="18" t="str">
        <f t="shared" si="5"/>
        <v> </v>
      </c>
      <c r="E74" s="18" t="str">
        <f t="shared" si="5"/>
        <v> </v>
      </c>
      <c r="F74" s="18" t="str">
        <f t="shared" si="5"/>
        <v> </v>
      </c>
      <c r="G74" s="19" t="str">
        <f t="shared" si="5"/>
        <v> </v>
      </c>
    </row>
    <row r="75" spans="1:7" s="10" customFormat="1" ht="18" customHeight="1">
      <c r="A75" s="29" t="str">
        <f>A8</f>
        <v>Capacity, tons (Qunit)</v>
      </c>
      <c r="B75" s="20">
        <f aca="true" t="shared" si="6" ref="B75:G76">B8</f>
        <v>1000</v>
      </c>
      <c r="C75" s="20">
        <f t="shared" si="6"/>
        <v>0</v>
      </c>
      <c r="D75" s="20">
        <f t="shared" si="6"/>
        <v>0</v>
      </c>
      <c r="E75" s="20">
        <f t="shared" si="6"/>
        <v>0</v>
      </c>
      <c r="F75" s="20">
        <f t="shared" si="6"/>
        <v>0</v>
      </c>
      <c r="G75" s="21">
        <f t="shared" si="6"/>
        <v>0</v>
      </c>
    </row>
    <row r="76" spans="1:7" s="10" customFormat="1" ht="18" customHeight="1">
      <c r="A76" s="29" t="str">
        <f>A9</f>
        <v>Refrigerant charge, lb</v>
      </c>
      <c r="B76" s="20">
        <f t="shared" si="6"/>
        <v>400</v>
      </c>
      <c r="C76" s="20">
        <f t="shared" si="6"/>
        <v>0</v>
      </c>
      <c r="D76" s="20">
        <f t="shared" si="6"/>
        <v>0</v>
      </c>
      <c r="E76" s="20">
        <f t="shared" si="6"/>
        <v>0</v>
      </c>
      <c r="F76" s="20">
        <f t="shared" si="6"/>
        <v>0</v>
      </c>
      <c r="G76" s="21">
        <f t="shared" si="6"/>
        <v>0</v>
      </c>
    </row>
    <row r="77" spans="1:7" s="10" customFormat="1" ht="18" customHeight="1">
      <c r="A77" s="29" t="str">
        <f>A11</f>
        <v>Refrigerant charge, lb/ton (Rc)</v>
      </c>
      <c r="B77" s="20">
        <f aca="true" t="shared" si="7" ref="B77:G77">B11</f>
        <v>0.4</v>
      </c>
      <c r="C77" s="20">
        <f t="shared" si="7"/>
        <v>0</v>
      </c>
      <c r="D77" s="20">
        <f t="shared" si="7"/>
        <v>0</v>
      </c>
      <c r="E77" s="20">
        <f t="shared" si="7"/>
        <v>0</v>
      </c>
      <c r="F77" s="20">
        <f t="shared" si="7"/>
        <v>0</v>
      </c>
      <c r="G77" s="21">
        <f t="shared" si="7"/>
        <v>0</v>
      </c>
    </row>
    <row r="78" spans="1:7" s="10" customFormat="1" ht="18" customHeight="1">
      <c r="A78" s="29" t="str">
        <f>A15</f>
        <v>Global warming potential of refrigerant (GWPr)</v>
      </c>
      <c r="B78" s="20">
        <f aca="true" t="shared" si="8" ref="B78:G79">B15</f>
        <v>77</v>
      </c>
      <c r="C78" s="20">
        <f t="shared" si="8"/>
        <v>77</v>
      </c>
      <c r="D78" s="20">
        <f t="shared" si="8"/>
        <v>1810</v>
      </c>
      <c r="E78" s="20">
        <f t="shared" si="8"/>
        <v>4000</v>
      </c>
      <c r="F78" s="20">
        <f t="shared" si="8"/>
        <v>1770</v>
      </c>
      <c r="G78" s="21">
        <f t="shared" si="8"/>
        <v>2080</v>
      </c>
    </row>
    <row r="79" spans="1:7" s="10" customFormat="1" ht="18" customHeight="1" thickBot="1">
      <c r="A79" s="23" t="str">
        <f>A16</f>
        <v>Ozone depletion potential of refrigerant (ODPr)</v>
      </c>
      <c r="B79" s="24">
        <f t="shared" si="8"/>
        <v>0.02</v>
      </c>
      <c r="C79" s="24">
        <f t="shared" si="8"/>
        <v>0.02</v>
      </c>
      <c r="D79" s="24">
        <f t="shared" si="8"/>
        <v>0.04</v>
      </c>
      <c r="E79" s="24">
        <f t="shared" si="8"/>
        <v>0</v>
      </c>
      <c r="F79" s="24">
        <f t="shared" si="8"/>
        <v>0</v>
      </c>
      <c r="G79" s="25">
        <f t="shared" si="8"/>
        <v>0</v>
      </c>
    </row>
    <row r="80" spans="1:7" ht="18" customHeight="1" thickTop="1">
      <c r="A80" s="30"/>
      <c r="B80" s="28"/>
      <c r="C80" s="28"/>
      <c r="D80" s="28"/>
      <c r="E80" s="28"/>
      <c r="F80" s="28"/>
      <c r="G80" s="28"/>
    </row>
    <row r="81" spans="1:7" s="10" customFormat="1" ht="18" customHeight="1">
      <c r="A81" s="22" t="s">
        <v>28</v>
      </c>
      <c r="B81" s="26">
        <f aca="true" t="shared" si="9" ref="B81:G81">B20</f>
        <v>19.9392</v>
      </c>
      <c r="C81" s="26">
        <f t="shared" si="9"/>
        <v>0</v>
      </c>
      <c r="D81" s="26">
        <f t="shared" si="9"/>
        <v>0</v>
      </c>
      <c r="E81" s="26">
        <f t="shared" si="9"/>
        <v>0</v>
      </c>
      <c r="F81" s="26">
        <f t="shared" si="9"/>
        <v>0</v>
      </c>
      <c r="G81" s="27">
        <f t="shared" si="9"/>
        <v>0</v>
      </c>
    </row>
    <row r="82" spans="1:2" ht="18" customHeight="1">
      <c r="A82" s="30"/>
      <c r="B82" s="31"/>
    </row>
    <row r="83" spans="1:2" s="10" customFormat="1" ht="18" customHeight="1" thickBot="1">
      <c r="A83" s="32" t="s">
        <v>25</v>
      </c>
      <c r="B83" s="33">
        <f>H8</f>
        <v>1000</v>
      </c>
    </row>
    <row r="84" spans="1:2" ht="18" customHeight="1" thickTop="1">
      <c r="A84" s="8"/>
      <c r="B84" s="28"/>
    </row>
    <row r="85" spans="1:2" s="10" customFormat="1" ht="18" customHeight="1" thickBot="1">
      <c r="A85" s="34" t="s">
        <v>31</v>
      </c>
      <c r="B85" s="76">
        <f>H22</f>
        <v>19.9392</v>
      </c>
    </row>
    <row r="86" ht="20.25" thickTop="1">
      <c r="A86" s="101">
        <f>F24</f>
      </c>
    </row>
    <row r="87" s="10" customFormat="1" ht="18" customHeight="1">
      <c r="A87" s="15" t="s">
        <v>37</v>
      </c>
    </row>
    <row r="88" spans="1:7" ht="111" customHeight="1">
      <c r="A88" s="127"/>
      <c r="B88" s="127"/>
      <c r="C88" s="127"/>
      <c r="D88" s="127"/>
      <c r="E88" s="127"/>
      <c r="F88" s="127"/>
      <c r="G88" s="127"/>
    </row>
    <row r="89" ht="18" customHeight="1"/>
  </sheetData>
  <sheetProtection password="E9F9" sheet="1"/>
  <mergeCells count="16">
    <mergeCell ref="F24:H24"/>
    <mergeCell ref="A22:A23"/>
    <mergeCell ref="B3:H3"/>
    <mergeCell ref="B4:H4"/>
    <mergeCell ref="B22:G22"/>
    <mergeCell ref="B23:G23"/>
    <mergeCell ref="A43:G43"/>
    <mergeCell ref="A1:H1"/>
    <mergeCell ref="A88:G88"/>
    <mergeCell ref="B45:G45"/>
    <mergeCell ref="B46:G46"/>
    <mergeCell ref="A25:H25"/>
    <mergeCell ref="A26:H26"/>
    <mergeCell ref="A27:H27"/>
    <mergeCell ref="A42:G42"/>
    <mergeCell ref="B2:H2"/>
  </mergeCells>
  <conditionalFormatting sqref="H23">
    <cfRule type="cellIs" priority="1" dxfId="3" operator="equal" stopIfTrue="1">
      <formula>"No"</formula>
    </cfRule>
    <cfRule type="cellIs" priority="2" dxfId="0" operator="equal" stopIfTrue="1">
      <formula>"Yes"</formula>
    </cfRule>
  </conditionalFormatting>
  <conditionalFormatting sqref="H22">
    <cfRule type="cellIs" priority="3" dxfId="1" operator="greaterThan" stopIfTrue="1">
      <formula>100</formula>
    </cfRule>
    <cfRule type="cellIs" priority="4" dxfId="0"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G10">
      <formula1>0</formula1>
      <formula2>10000000</formula2>
    </dataValidation>
    <dataValidation type="list" allowBlank="1" showInputMessage="1" showErrorMessage="1" sqref="B7:G7">
      <formula1>EquipType</formula1>
    </dataValidation>
    <dataValidation type="list" allowBlank="1" showInputMessage="1" showErrorMessage="1" sqref="B6:G6">
      <formula1>Refrigerants</formula1>
    </dataValidation>
    <dataValidation type="decimal" allowBlank="1" showInputMessage="1" showErrorMessage="1" errorTitle="Enter 0" error="Please enter zero rather than pressing the space bar.&#10;OR&#10;Enter a number between zero and 100,000" sqref="B8:G8">
      <formula1>0</formula1>
      <formula2>1000000</formula2>
    </dataValidation>
  </dataValidations>
  <printOptions/>
  <pageMargins left="0.5" right="0.5" top="1" bottom="0.5" header="0.5" footer="0.5"/>
  <pageSetup fitToHeight="2" fitToWidth="1" horizontalDpi="600" verticalDpi="600" orientation="landscape" scale="50" r:id="rId11"/>
  <rowBreaks count="1" manualBreakCount="1">
    <brk id="40" max="255" man="1"/>
  </rowBreaks>
  <drawing r:id="rId10"/>
  <legacyDrawing r:id="rId9"/>
  <oleObjects>
    <oleObject progId="Equation.3" shapeId="5427059" r:id="rId2"/>
    <oleObject progId="Equation.3" shapeId="5427061" r:id="rId3"/>
    <oleObject progId="Equation.3" shapeId="5427062" r:id="rId4"/>
    <oleObject progId="Equation.3" shapeId="1309649" r:id="rId5"/>
    <oleObject progId="Equation.3" shapeId="1316759" r:id="rId6"/>
    <oleObject progId="Equation.3" shapeId="363944" r:id="rId7"/>
    <oleObject progId="Equation.3" shapeId="711315" r:id="rId8"/>
  </oleObjects>
</worksheet>
</file>

<file path=xl/worksheets/sheet4.xml><?xml version="1.0" encoding="utf-8"?>
<worksheet xmlns="http://schemas.openxmlformats.org/spreadsheetml/2006/main" xmlns:r="http://schemas.openxmlformats.org/officeDocument/2006/relationships">
  <dimension ref="A1:E35"/>
  <sheetViews>
    <sheetView zoomScalePageLayoutView="0" workbookViewId="0" topLeftCell="A12">
      <selection activeCell="A18" sqref="A18:IV18"/>
    </sheetView>
  </sheetViews>
  <sheetFormatPr defaultColWidth="9.140625" defaultRowHeight="12.75"/>
  <cols>
    <col min="1" max="1" width="27.8515625" style="0" bestFit="1" customWidth="1"/>
  </cols>
  <sheetData>
    <row r="1" spans="1:2" ht="12.75">
      <c r="A1" s="84" t="s">
        <v>68</v>
      </c>
      <c r="B1" s="84" t="s">
        <v>56</v>
      </c>
    </row>
    <row r="2" spans="1:2" ht="12.75">
      <c r="A2" t="s">
        <v>46</v>
      </c>
      <c r="B2">
        <v>23</v>
      </c>
    </row>
    <row r="3" spans="1:2" ht="12.75">
      <c r="A3" t="s">
        <v>47</v>
      </c>
      <c r="B3">
        <v>25</v>
      </c>
    </row>
    <row r="4" spans="1:2" ht="12.75">
      <c r="A4" t="s">
        <v>50</v>
      </c>
      <c r="B4">
        <v>15</v>
      </c>
    </row>
    <row r="5" spans="1:2" ht="12.75">
      <c r="A5" t="s">
        <v>44</v>
      </c>
      <c r="B5">
        <v>20</v>
      </c>
    </row>
    <row r="6" spans="1:2" ht="12.75">
      <c r="A6" t="s">
        <v>45</v>
      </c>
      <c r="B6">
        <v>25</v>
      </c>
    </row>
    <row r="7" spans="1:2" ht="12.75">
      <c r="A7" t="s">
        <v>76</v>
      </c>
      <c r="B7">
        <v>20</v>
      </c>
    </row>
    <row r="8" spans="1:2" ht="12.75">
      <c r="A8" t="s">
        <v>70</v>
      </c>
      <c r="B8">
        <v>15</v>
      </c>
    </row>
    <row r="9" spans="1:2" ht="12.75">
      <c r="A9" t="s">
        <v>49</v>
      </c>
      <c r="B9">
        <v>15</v>
      </c>
    </row>
    <row r="10" spans="1:2" ht="12.75">
      <c r="A10" t="s">
        <v>86</v>
      </c>
      <c r="B10">
        <v>24</v>
      </c>
    </row>
    <row r="11" spans="1:2" ht="12.75">
      <c r="A11" t="s">
        <v>48</v>
      </c>
      <c r="B11">
        <v>10</v>
      </c>
    </row>
    <row r="13" spans="1:5" ht="15.75">
      <c r="A13" s="138" t="s">
        <v>114</v>
      </c>
      <c r="B13" s="138"/>
      <c r="C13" s="138"/>
      <c r="D13" s="138"/>
      <c r="E13" s="138"/>
    </row>
    <row r="14" spans="1:5" ht="12.75">
      <c r="A14" s="84" t="s">
        <v>30</v>
      </c>
      <c r="B14" s="84" t="s">
        <v>54</v>
      </c>
      <c r="C14" s="84" t="s">
        <v>55</v>
      </c>
      <c r="D14" s="84" t="s">
        <v>74</v>
      </c>
      <c r="E14" s="84" t="s">
        <v>75</v>
      </c>
    </row>
    <row r="15" spans="1:5" ht="12.75">
      <c r="A15" t="s">
        <v>58</v>
      </c>
      <c r="B15">
        <v>0</v>
      </c>
      <c r="C15">
        <v>0</v>
      </c>
      <c r="D15" s="96">
        <v>0.02</v>
      </c>
      <c r="E15" s="96">
        <v>0.1</v>
      </c>
    </row>
    <row r="16" spans="1:5" ht="12.75">
      <c r="A16" t="s">
        <v>69</v>
      </c>
      <c r="B16">
        <v>1</v>
      </c>
      <c r="C16">
        <v>0</v>
      </c>
      <c r="D16" s="96">
        <v>0.02</v>
      </c>
      <c r="E16" s="96">
        <v>0.1</v>
      </c>
    </row>
    <row r="17" spans="1:5" ht="12.75">
      <c r="A17" t="s">
        <v>59</v>
      </c>
      <c r="B17">
        <v>3</v>
      </c>
      <c r="C17">
        <v>0</v>
      </c>
      <c r="D17" s="96">
        <v>0.02</v>
      </c>
      <c r="E17" s="96">
        <v>0.1</v>
      </c>
    </row>
    <row r="18" spans="1:5" ht="12.75">
      <c r="A18" t="s">
        <v>2</v>
      </c>
      <c r="B18">
        <v>77</v>
      </c>
      <c r="C18">
        <v>0.02</v>
      </c>
      <c r="D18" s="96">
        <v>0.02</v>
      </c>
      <c r="E18" s="96">
        <v>0.1</v>
      </c>
    </row>
    <row r="19" spans="1:5" ht="12.75">
      <c r="A19" t="s">
        <v>110</v>
      </c>
      <c r="B19">
        <v>77</v>
      </c>
      <c r="C19">
        <v>0.02</v>
      </c>
      <c r="D19" s="102">
        <v>0.005</v>
      </c>
      <c r="E19" s="96">
        <v>0.1</v>
      </c>
    </row>
    <row r="20" spans="1:5" ht="12.75">
      <c r="A20" s="115" t="s">
        <v>115</v>
      </c>
      <c r="B20">
        <v>5</v>
      </c>
      <c r="C20">
        <v>0</v>
      </c>
      <c r="D20" s="102">
        <v>0.02</v>
      </c>
      <c r="E20" s="96">
        <v>0.1</v>
      </c>
    </row>
    <row r="21" spans="1:5" ht="12.75">
      <c r="A21" t="s">
        <v>100</v>
      </c>
      <c r="B21">
        <v>4</v>
      </c>
      <c r="C21">
        <v>0</v>
      </c>
      <c r="D21" s="102">
        <v>0.02</v>
      </c>
      <c r="E21" s="96">
        <v>0.1</v>
      </c>
    </row>
    <row r="22" spans="1:5" ht="12.75">
      <c r="A22" t="s">
        <v>116</v>
      </c>
      <c r="B22">
        <v>6</v>
      </c>
      <c r="C22">
        <v>0</v>
      </c>
      <c r="D22" s="102">
        <v>0.02</v>
      </c>
      <c r="E22" s="96">
        <v>0.1</v>
      </c>
    </row>
    <row r="23" spans="1:5" ht="12.75">
      <c r="A23" t="s">
        <v>3</v>
      </c>
      <c r="B23">
        <v>1430</v>
      </c>
      <c r="C23">
        <v>0</v>
      </c>
      <c r="D23" s="96">
        <v>0.02</v>
      </c>
      <c r="E23" s="96">
        <v>0.1</v>
      </c>
    </row>
    <row r="24" spans="1:5" ht="12.75">
      <c r="A24" t="s">
        <v>1</v>
      </c>
      <c r="B24">
        <v>1810</v>
      </c>
      <c r="C24">
        <v>0.04</v>
      </c>
      <c r="D24" s="96">
        <v>0.02</v>
      </c>
      <c r="E24" s="96">
        <v>0.1</v>
      </c>
    </row>
    <row r="25" spans="1:5" ht="12.75">
      <c r="A25" t="s">
        <v>4</v>
      </c>
      <c r="B25">
        <v>1030</v>
      </c>
      <c r="C25">
        <v>0</v>
      </c>
      <c r="D25" s="96">
        <v>0.02</v>
      </c>
      <c r="E25" s="96">
        <v>0.1</v>
      </c>
    </row>
    <row r="26" spans="1:5" ht="12.75">
      <c r="A26" s="103" t="s">
        <v>87</v>
      </c>
      <c r="B26">
        <v>675</v>
      </c>
      <c r="C26">
        <v>0</v>
      </c>
      <c r="D26" s="96">
        <v>0.02</v>
      </c>
      <c r="E26" s="96">
        <v>0.1</v>
      </c>
    </row>
    <row r="27" spans="1:5" ht="12.75">
      <c r="A27" t="s">
        <v>72</v>
      </c>
      <c r="B27">
        <v>3900</v>
      </c>
      <c r="C27">
        <v>0</v>
      </c>
      <c r="D27" s="96">
        <v>0.02</v>
      </c>
      <c r="E27" s="96">
        <v>0.1</v>
      </c>
    </row>
    <row r="28" spans="1:5" ht="12.75">
      <c r="A28" s="103" t="s">
        <v>90</v>
      </c>
      <c r="B28">
        <v>2100</v>
      </c>
      <c r="C28">
        <v>0</v>
      </c>
      <c r="D28" s="96">
        <v>0.02</v>
      </c>
      <c r="E28" s="96">
        <v>0.1</v>
      </c>
    </row>
    <row r="29" spans="1:5" ht="12.75">
      <c r="A29" t="s">
        <v>113</v>
      </c>
      <c r="B29">
        <v>1770</v>
      </c>
      <c r="C29">
        <v>0</v>
      </c>
      <c r="D29" s="96">
        <v>0.02</v>
      </c>
      <c r="E29" s="96">
        <v>0.1</v>
      </c>
    </row>
    <row r="30" spans="1:5" ht="12.75">
      <c r="A30" s="103" t="s">
        <v>111</v>
      </c>
      <c r="B30">
        <v>1820</v>
      </c>
      <c r="C30">
        <v>0</v>
      </c>
      <c r="D30" s="96">
        <v>0.02</v>
      </c>
      <c r="E30" s="96">
        <v>0.1</v>
      </c>
    </row>
    <row r="31" spans="1:5" ht="12.75">
      <c r="A31" t="s">
        <v>112</v>
      </c>
      <c r="B31">
        <v>2080</v>
      </c>
      <c r="C31">
        <v>0</v>
      </c>
      <c r="D31" s="96">
        <v>0.02</v>
      </c>
      <c r="E31" s="96">
        <v>0.1</v>
      </c>
    </row>
    <row r="32" spans="1:5" ht="12.75">
      <c r="A32" t="s">
        <v>78</v>
      </c>
      <c r="B32">
        <v>3240</v>
      </c>
      <c r="C32">
        <v>0</v>
      </c>
      <c r="D32" s="96">
        <v>0.02</v>
      </c>
      <c r="E32" s="96">
        <v>0.1</v>
      </c>
    </row>
    <row r="33" spans="1:5" ht="12.75">
      <c r="A33" t="s">
        <v>73</v>
      </c>
      <c r="B33">
        <v>4000</v>
      </c>
      <c r="C33">
        <v>0</v>
      </c>
      <c r="D33" s="96">
        <v>0.02</v>
      </c>
      <c r="E33" s="96">
        <v>0.1</v>
      </c>
    </row>
    <row r="34" spans="1:5" ht="12.75">
      <c r="A34" t="s">
        <v>60</v>
      </c>
      <c r="B34">
        <v>0</v>
      </c>
      <c r="C34">
        <v>0</v>
      </c>
      <c r="D34" s="96">
        <v>0.02</v>
      </c>
      <c r="E34" s="96">
        <v>0.1</v>
      </c>
    </row>
    <row r="35" spans="4:5" ht="12.75">
      <c r="D35" s="96"/>
      <c r="E35" s="96"/>
    </row>
  </sheetData>
  <sheetProtection password="E9F9" sheet="1"/>
  <mergeCells count="1">
    <mergeCell ref="A13:E13"/>
  </mergeCells>
  <printOptions/>
  <pageMargins left="0.75" right="0.75" top="1" bottom="1" header="0.5" footer="0.5"/>
  <pageSetup horizontalDpi="600" verticalDpi="600" orientation="portrait" paperSize="195" r:id="rId1"/>
</worksheet>
</file>

<file path=xl/worksheets/sheet5.xml><?xml version="1.0" encoding="utf-8"?>
<worksheet xmlns="http://schemas.openxmlformats.org/spreadsheetml/2006/main" xmlns:r="http://schemas.openxmlformats.org/officeDocument/2006/relationships">
  <dimension ref="A1:H87"/>
  <sheetViews>
    <sheetView zoomScale="75" zoomScaleNormal="75" zoomScalePageLayoutView="0" workbookViewId="0" topLeftCell="A1">
      <selection activeCell="B6" sqref="B6"/>
    </sheetView>
  </sheetViews>
  <sheetFormatPr defaultColWidth="9.140625" defaultRowHeight="12.75"/>
  <cols>
    <col min="1" max="1" width="68.00390625" style="1" customWidth="1"/>
    <col min="2" max="2" width="24.7109375" style="1" customWidth="1"/>
    <col min="3" max="3" width="50.28125" style="1" customWidth="1"/>
    <col min="4" max="4" width="3.140625" style="1" customWidth="1"/>
    <col min="5" max="5" width="5.7109375" style="1" customWidth="1"/>
    <col min="6" max="7" width="9.140625" style="1" customWidth="1"/>
    <col min="8" max="8" width="11.00390625" style="1" customWidth="1"/>
    <col min="9" max="16384" width="9.140625" style="1" customWidth="1"/>
  </cols>
  <sheetData>
    <row r="1" spans="1:8" s="7" customFormat="1" ht="87" customHeight="1" thickBot="1">
      <c r="A1" s="119" t="s">
        <v>108</v>
      </c>
      <c r="B1" s="120"/>
      <c r="C1" s="120"/>
      <c r="D1" s="63"/>
      <c r="E1" s="63"/>
      <c r="F1" s="63"/>
      <c r="G1" s="63"/>
      <c r="H1" s="63"/>
    </row>
    <row r="2" spans="1:8" s="10" customFormat="1" ht="18" customHeight="1" thickTop="1">
      <c r="A2" s="54" t="s">
        <v>9</v>
      </c>
      <c r="B2" s="121" t="s">
        <v>8</v>
      </c>
      <c r="C2" s="122"/>
      <c r="D2" s="9"/>
      <c r="E2" s="9"/>
      <c r="F2" s="9"/>
      <c r="G2" s="9"/>
      <c r="H2" s="9"/>
    </row>
    <row r="3" spans="1:8" s="10" customFormat="1" ht="18" customHeight="1">
      <c r="A3" s="55" t="s">
        <v>10</v>
      </c>
      <c r="B3" s="123" t="s">
        <v>8</v>
      </c>
      <c r="C3" s="124"/>
      <c r="D3" s="9"/>
      <c r="E3" s="9"/>
      <c r="F3" s="9"/>
      <c r="G3" s="9"/>
      <c r="H3" s="9"/>
    </row>
    <row r="4" spans="1:3" s="10" customFormat="1" ht="18" customHeight="1" thickBot="1">
      <c r="A4" s="56" t="s">
        <v>0</v>
      </c>
      <c r="B4" s="125">
        <f ca="1">NOW()</f>
        <v>41757.41338726852</v>
      </c>
      <c r="C4" s="126"/>
    </row>
    <row r="5" spans="1:3" s="11" customFormat="1" ht="18" customHeight="1" thickBot="1" thickTop="1">
      <c r="A5" s="59" t="s">
        <v>12</v>
      </c>
      <c r="B5" s="73" t="s">
        <v>8</v>
      </c>
      <c r="C5" s="95" t="s">
        <v>42</v>
      </c>
    </row>
    <row r="6" spans="1:3" s="11" customFormat="1" ht="18" customHeight="1" thickTop="1">
      <c r="A6" s="57" t="s">
        <v>30</v>
      </c>
      <c r="B6" s="94" t="s">
        <v>87</v>
      </c>
      <c r="C6" s="58" t="s">
        <v>5</v>
      </c>
    </row>
    <row r="7" spans="1:3" s="10" customFormat="1" ht="18" customHeight="1">
      <c r="A7" s="59" t="s">
        <v>68</v>
      </c>
      <c r="B7" s="83" t="s">
        <v>48</v>
      </c>
      <c r="C7" s="12"/>
    </row>
    <row r="8" spans="1:3" s="10" customFormat="1" ht="18" customHeight="1">
      <c r="A8" s="59" t="s">
        <v>13</v>
      </c>
      <c r="B8" s="79">
        <v>1</v>
      </c>
      <c r="C8" s="92">
        <f>B8</f>
        <v>1</v>
      </c>
    </row>
    <row r="9" spans="1:3" s="10" customFormat="1" ht="18" customHeight="1">
      <c r="A9" s="59" t="s">
        <v>16</v>
      </c>
      <c r="B9" s="80">
        <v>4.09</v>
      </c>
      <c r="C9" s="12"/>
    </row>
    <row r="10" spans="1:3" s="10" customFormat="1" ht="18" customHeight="1">
      <c r="A10" s="59" t="s">
        <v>17</v>
      </c>
      <c r="B10" s="61">
        <f>IF(B8&gt;0,B9/B8,0)</f>
        <v>4.09</v>
      </c>
      <c r="C10" s="12"/>
    </row>
    <row r="11" spans="1:3" s="10" customFormat="1" ht="18" customHeight="1">
      <c r="A11" s="59" t="s">
        <v>14</v>
      </c>
      <c r="B11" s="97">
        <f>VLOOKUP(B$6,Lists!$A$15:$E$33,4)</f>
        <v>0.02</v>
      </c>
      <c r="C11" s="12"/>
    </row>
    <row r="12" spans="1:3" s="10" customFormat="1" ht="18" customHeight="1">
      <c r="A12" s="59" t="s">
        <v>18</v>
      </c>
      <c r="B12" s="62">
        <f>VLOOKUP(B7,Lists!$A$2:$B$11,2)</f>
        <v>10</v>
      </c>
      <c r="C12" s="12"/>
    </row>
    <row r="13" spans="1:3" s="10" customFormat="1" ht="18" customHeight="1">
      <c r="A13" s="59" t="s">
        <v>15</v>
      </c>
      <c r="B13" s="97">
        <f>VLOOKUP(B$6,Lists!$A$15:$E$33,5)</f>
        <v>0.1</v>
      </c>
      <c r="C13" s="12" t="s">
        <v>8</v>
      </c>
    </row>
    <row r="14" spans="1:3" s="10" customFormat="1" ht="18" customHeight="1">
      <c r="A14" s="59" t="s">
        <v>19</v>
      </c>
      <c r="B14" s="90">
        <f>VLOOKUP(B$6,Lists!$A$15:$E$33,2)</f>
        <v>675</v>
      </c>
      <c r="C14" s="12"/>
    </row>
    <row r="15" spans="1:3" s="10" customFormat="1" ht="18" customHeight="1" thickBot="1">
      <c r="A15" s="93" t="s">
        <v>20</v>
      </c>
      <c r="B15" s="89">
        <f>VLOOKUP(B$6,Lists!$A$15:$E$33,3)</f>
        <v>0</v>
      </c>
      <c r="C15" s="12"/>
    </row>
    <row r="16" spans="1:3" ht="6" customHeight="1" thickTop="1">
      <c r="A16" s="50"/>
      <c r="B16" s="44"/>
      <c r="C16" s="8"/>
    </row>
    <row r="17" spans="1:3" s="10" customFormat="1" ht="63" customHeight="1">
      <c r="A17" s="51" t="s">
        <v>21</v>
      </c>
      <c r="B17" s="49">
        <f>B10*B14*(B11*B12+B13)/B12</f>
        <v>82.82250000000002</v>
      </c>
      <c r="C17" s="12"/>
    </row>
    <row r="18" spans="1:3" s="10" customFormat="1" ht="63" customHeight="1">
      <c r="A18" s="52" t="s">
        <v>22</v>
      </c>
      <c r="B18" s="46">
        <f>B10*B15*(B12*B11+B13)/B12</f>
        <v>0</v>
      </c>
      <c r="C18" s="12"/>
    </row>
    <row r="19" spans="1:3" s="10" customFormat="1" ht="48" customHeight="1">
      <c r="A19" s="52" t="s">
        <v>43</v>
      </c>
      <c r="B19" s="47">
        <f>B17+100000*B18</f>
        <v>82.82250000000002</v>
      </c>
      <c r="C19" s="12"/>
    </row>
    <row r="20" spans="1:3" s="10" customFormat="1" ht="48" customHeight="1" thickBot="1">
      <c r="A20" s="53" t="s">
        <v>23</v>
      </c>
      <c r="B20" s="87">
        <f>B8*B19</f>
        <v>82.82250000000002</v>
      </c>
      <c r="C20" s="88">
        <f>B20</f>
        <v>82.82250000000002</v>
      </c>
    </row>
    <row r="21" spans="1:3" ht="72" customHeight="1" thickTop="1">
      <c r="A21" s="116"/>
      <c r="B21" s="86" t="s">
        <v>57</v>
      </c>
      <c r="C21" s="75">
        <f>IF(C8&gt;0,C20/C8,100.1)</f>
        <v>82.82250000000002</v>
      </c>
    </row>
    <row r="22" spans="1:3" ht="49.5" customHeight="1" thickBot="1">
      <c r="A22" s="117"/>
      <c r="B22" s="81" t="s">
        <v>6</v>
      </c>
      <c r="C22" s="42" t="str">
        <f>IF(C21&gt;100,"No","Yes")</f>
        <v>Yes</v>
      </c>
    </row>
    <row r="23" ht="20.25" thickTop="1">
      <c r="C23" s="100">
        <f>IF(B6=Lists!$A$19,"IMPORTANT: May only be used for projects registered between June 2006 and June 2009","")</f>
      </c>
    </row>
    <row r="24" spans="1:3" ht="19.5" customHeight="1">
      <c r="A24" s="118" t="s">
        <v>88</v>
      </c>
      <c r="B24" s="118"/>
      <c r="C24" s="118"/>
    </row>
    <row r="25" spans="1:3" s="10" customFormat="1" ht="27.75" customHeight="1">
      <c r="A25" s="128" t="s">
        <v>85</v>
      </c>
      <c r="B25" s="128"/>
      <c r="C25" s="128"/>
    </row>
    <row r="26" spans="1:3" ht="36" customHeight="1">
      <c r="A26" s="129" t="s">
        <v>24</v>
      </c>
      <c r="B26" s="129"/>
      <c r="C26" s="129"/>
    </row>
    <row r="41" spans="1:2" s="41" customFormat="1" ht="24" customHeight="1">
      <c r="A41" s="130" t="s">
        <v>79</v>
      </c>
      <c r="B41" s="130"/>
    </row>
    <row r="42" spans="1:2" s="2" customFormat="1" ht="18" customHeight="1">
      <c r="A42" s="113" t="s">
        <v>109</v>
      </c>
      <c r="B42" s="113"/>
    </row>
    <row r="43" ht="35.25" customHeight="1"/>
    <row r="44" spans="1:2" ht="18" customHeight="1">
      <c r="A44" s="65" t="s">
        <v>9</v>
      </c>
      <c r="B44" s="3" t="str">
        <f>IF(ISBLANK(B2),"",B2)</f>
        <v> </v>
      </c>
    </row>
    <row r="45" spans="1:2" ht="18" customHeight="1">
      <c r="A45" s="65" t="s">
        <v>10</v>
      </c>
      <c r="B45" s="82" t="str">
        <f>IF(ISBLANK(B3),"",B3)</f>
        <v> </v>
      </c>
    </row>
    <row r="46" spans="1:2" ht="18" customHeight="1">
      <c r="A46" s="65" t="s">
        <v>7</v>
      </c>
      <c r="B46" s="77">
        <f>B4</f>
        <v>41757.41338726852</v>
      </c>
    </row>
    <row r="47" ht="18" customHeight="1"/>
    <row r="48" ht="12.75">
      <c r="A48" s="3"/>
    </row>
    <row r="49" spans="1:2" s="10" customFormat="1" ht="18" customHeight="1">
      <c r="A49" s="40" t="s">
        <v>33</v>
      </c>
      <c r="B49" s="40" t="str">
        <f>IF($C$21&gt;100,"do not comply with the formula:","comply with the formula:")</f>
        <v>comply with the formula:</v>
      </c>
    </row>
    <row r="50" ht="12.75"/>
    <row r="51" ht="12.75"/>
    <row r="52" s="10" customFormat="1" ht="18" customHeight="1">
      <c r="A52" s="15" t="s">
        <v>34</v>
      </c>
    </row>
    <row r="53" spans="1:2" s="10" customFormat="1" ht="18" customHeight="1">
      <c r="A53" s="40" t="s">
        <v>35</v>
      </c>
      <c r="B53" s="40" t="str">
        <f>IF($C$21&gt;100,"do not comply with the formula:","comply with the formula:")</f>
        <v>comply with the formula:</v>
      </c>
    </row>
    <row r="54" ht="12.75"/>
    <row r="55" ht="12.75"/>
    <row r="56" ht="12.75"/>
    <row r="57" ht="12.75"/>
    <row r="59" ht="18" customHeight="1">
      <c r="A59" s="5" t="s">
        <v>32</v>
      </c>
    </row>
    <row r="60" spans="1:2" s="15" customFormat="1" ht="15">
      <c r="A60" s="15" t="s">
        <v>36</v>
      </c>
      <c r="B60" s="78">
        <f>$C$21</f>
        <v>82.82250000000002</v>
      </c>
    </row>
    <row r="62" spans="1:2" s="15" customFormat="1" ht="18" customHeight="1">
      <c r="A62" s="40" t="s">
        <v>105</v>
      </c>
      <c r="B62" s="40" t="str">
        <f>IF($C$21&gt;100,"does not qualify.","qualifies.")</f>
        <v>qualifies.</v>
      </c>
    </row>
    <row r="63" ht="36" customHeight="1"/>
    <row r="64" s="10" customFormat="1" ht="18" customHeight="1">
      <c r="A64" s="14" t="s">
        <v>26</v>
      </c>
    </row>
    <row r="65" s="10" customFormat="1" ht="18" customHeight="1">
      <c r="A65" s="15" t="s">
        <v>27</v>
      </c>
    </row>
    <row r="66" s="10" customFormat="1" ht="15.75" customHeight="1">
      <c r="A66" s="17" t="s">
        <v>80</v>
      </c>
    </row>
    <row r="67" s="10" customFormat="1" ht="15.75" customHeight="1">
      <c r="A67" s="17" t="s">
        <v>51</v>
      </c>
    </row>
    <row r="68" s="10" customFormat="1" ht="15.75" customHeight="1">
      <c r="A68" s="17" t="s">
        <v>71</v>
      </c>
    </row>
    <row r="69" s="10" customFormat="1" ht="15.75" customHeight="1">
      <c r="A69" s="17" t="s">
        <v>107</v>
      </c>
    </row>
    <row r="70" ht="18" customHeight="1"/>
    <row r="71" spans="1:2" ht="18" customHeight="1" thickBot="1">
      <c r="A71" s="16" t="s">
        <v>29</v>
      </c>
      <c r="B71" s="35"/>
    </row>
    <row r="72" spans="1:2" s="10" customFormat="1" ht="18" customHeight="1" thickBot="1" thickTop="1">
      <c r="A72" s="39"/>
      <c r="B72" s="85" t="str">
        <f>B6</f>
        <v>R-32</v>
      </c>
    </row>
    <row r="73" spans="1:2" s="10" customFormat="1" ht="18" customHeight="1" thickTop="1">
      <c r="A73" s="22" t="str">
        <f>A5</f>
        <v>Unit tag(s)</v>
      </c>
      <c r="B73" s="19" t="str">
        <f>IF(ISBLANK(B5),"",B5)</f>
        <v> </v>
      </c>
    </row>
    <row r="74" spans="1:2" s="10" customFormat="1" ht="18" customHeight="1">
      <c r="A74" s="29" t="str">
        <f aca="true" t="shared" si="0" ref="A74:B76">A8</f>
        <v>Capacity, tons (Qunit)</v>
      </c>
      <c r="B74" s="21">
        <f t="shared" si="0"/>
        <v>1</v>
      </c>
    </row>
    <row r="75" spans="1:2" s="10" customFormat="1" ht="18" customHeight="1">
      <c r="A75" s="29" t="str">
        <f t="shared" si="0"/>
        <v>Refrigerant charge, lb</v>
      </c>
      <c r="B75" s="21">
        <f t="shared" si="0"/>
        <v>4.09</v>
      </c>
    </row>
    <row r="76" spans="1:2" s="10" customFormat="1" ht="18" customHeight="1">
      <c r="A76" s="29" t="str">
        <f t="shared" si="0"/>
        <v>Refrigerant charge, lb/ton (Rc)</v>
      </c>
      <c r="B76" s="21">
        <f t="shared" si="0"/>
        <v>4.09</v>
      </c>
    </row>
    <row r="77" spans="1:2" s="10" customFormat="1" ht="18" customHeight="1">
      <c r="A77" s="29" t="str">
        <f>A14</f>
        <v>Global warming potential of refrigerant (GWPr)</v>
      </c>
      <c r="B77" s="21">
        <f>B14</f>
        <v>675</v>
      </c>
    </row>
    <row r="78" spans="1:2" s="10" customFormat="1" ht="18" customHeight="1" thickBot="1">
      <c r="A78" s="23" t="str">
        <f>A15</f>
        <v>Ozone depletion potential of refrigerant (ODPr)</v>
      </c>
      <c r="B78" s="25">
        <f>B15</f>
        <v>0</v>
      </c>
    </row>
    <row r="79" spans="1:2" ht="18" customHeight="1" thickTop="1">
      <c r="A79" s="30"/>
      <c r="B79" s="28"/>
    </row>
    <row r="80" spans="1:2" s="10" customFormat="1" ht="18" customHeight="1">
      <c r="A80" s="22" t="s">
        <v>28</v>
      </c>
      <c r="B80" s="27">
        <f>B19</f>
        <v>82.82250000000002</v>
      </c>
    </row>
    <row r="81" spans="1:2" ht="18" customHeight="1">
      <c r="A81" s="30"/>
      <c r="B81" s="31"/>
    </row>
    <row r="82" spans="1:2" s="10" customFormat="1" ht="18" customHeight="1" thickBot="1">
      <c r="A82" s="32" t="s">
        <v>25</v>
      </c>
      <c r="B82" s="33">
        <f>C8</f>
        <v>1</v>
      </c>
    </row>
    <row r="83" spans="1:2" ht="18" customHeight="1" thickTop="1">
      <c r="A83" s="8"/>
      <c r="B83" s="28"/>
    </row>
    <row r="84" spans="1:2" s="10" customFormat="1" ht="18" customHeight="1" thickBot="1">
      <c r="A84" s="34" t="s">
        <v>31</v>
      </c>
      <c r="B84" s="76">
        <f>C21</f>
        <v>82.82250000000002</v>
      </c>
    </row>
    <row r="85" spans="1:2" ht="36" customHeight="1" thickTop="1">
      <c r="A85" s="6" t="s">
        <v>8</v>
      </c>
      <c r="B85" s="1" t="s">
        <v>8</v>
      </c>
    </row>
    <row r="86" s="10" customFormat="1" ht="18" customHeight="1">
      <c r="A86" s="15" t="s">
        <v>37</v>
      </c>
    </row>
    <row r="87" spans="1:3" ht="111" customHeight="1">
      <c r="A87" s="127"/>
      <c r="B87" s="127"/>
      <c r="C87" s="100">
        <f>C23</f>
      </c>
    </row>
    <row r="88" ht="18" customHeight="1"/>
  </sheetData>
  <sheetProtection password="E9F9" sheet="1"/>
  <mergeCells count="10">
    <mergeCell ref="A25:C25"/>
    <mergeCell ref="A26:C26"/>
    <mergeCell ref="A41:B41"/>
    <mergeCell ref="A87:B87"/>
    <mergeCell ref="A1:C1"/>
    <mergeCell ref="B2:C2"/>
    <mergeCell ref="B3:C3"/>
    <mergeCell ref="B4:C4"/>
    <mergeCell ref="A21:A22"/>
    <mergeCell ref="A24:C24"/>
  </mergeCells>
  <conditionalFormatting sqref="C22">
    <cfRule type="cellIs" priority="1" dxfId="3" operator="equal" stopIfTrue="1">
      <formula>"No"</formula>
    </cfRule>
    <cfRule type="cellIs" priority="2" dxfId="0" operator="equal" stopIfTrue="1">
      <formula>"Yes"</formula>
    </cfRule>
  </conditionalFormatting>
  <conditionalFormatting sqref="C21">
    <cfRule type="cellIs" priority="3" dxfId="1" operator="greaterThan" stopIfTrue="1">
      <formula>100</formula>
    </cfRule>
    <cfRule type="cellIs" priority="4" dxfId="0"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8">
      <formula1>0</formula1>
      <formula2>1000000</formula2>
    </dataValidation>
    <dataValidation type="list" allowBlank="1" showInputMessage="1" showErrorMessage="1" sqref="B6">
      <formula1>Refrigerants</formula1>
    </dataValidation>
    <dataValidation type="list" allowBlank="1" showInputMessage="1" showErrorMessage="1" sqref="B7">
      <formula1>EquipType</formula1>
    </dataValidation>
    <dataValidation type="decimal" allowBlank="1" showInputMessage="1" showErrorMessage="1" errorTitle="Enter 0" error="Please enter zero rather than pressing the space bar.&#10;OR&#10;Enter a number between zero and 100,000" sqref="B9">
      <formula1>0</formula1>
      <formula2>10000000</formula2>
    </dataValidation>
  </dataValidations>
  <printOptions/>
  <pageMargins left="0.7" right="0.7" top="0.75" bottom="0.75" header="0.3" footer="0.3"/>
  <pageSetup horizontalDpi="600" verticalDpi="600" orientation="portrait" r:id="rId10"/>
  <drawing r:id="rId9"/>
  <legacyDrawing r:id="rId8"/>
  <oleObjects>
    <oleObject progId="Equation.3" shapeId="1048585" r:id="rId2"/>
    <oleObject progId="Equation.3" shapeId="1048586" r:id="rId3"/>
    <oleObject progId="Equation.3" shapeId="1048587" r:id="rId4"/>
    <oleObject progId="Equation.3" shapeId="1048588" r:id="rId5"/>
    <oleObject progId="Equation.3" shapeId="1048589" r:id="rId6"/>
    <oleObject progId="Equation.3" shapeId="1048590" r:id="rId7"/>
  </oleObjects>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A22" sqref="A22"/>
    </sheetView>
  </sheetViews>
  <sheetFormatPr defaultColWidth="9.140625" defaultRowHeight="12.75"/>
  <cols>
    <col min="1" max="1" width="45.28125" style="0" customWidth="1"/>
    <col min="2" max="2" width="9.57421875" style="0" bestFit="1" customWidth="1"/>
    <col min="3" max="3" width="14.8515625" style="0" bestFit="1" customWidth="1"/>
    <col min="9" max="9" width="12.7109375" style="0" customWidth="1"/>
    <col min="10" max="10" width="14.00390625" style="0" customWidth="1"/>
  </cols>
  <sheetData>
    <row r="1" spans="1:4" ht="38.25" customHeight="1">
      <c r="A1" s="141" t="s">
        <v>108</v>
      </c>
      <c r="B1" s="141"/>
      <c r="C1" s="141"/>
      <c r="D1" s="141"/>
    </row>
    <row r="2" spans="1:10" ht="18">
      <c r="A2" s="140" t="s">
        <v>101</v>
      </c>
      <c r="B2" s="140"/>
      <c r="C2" s="140"/>
      <c r="D2" s="140"/>
      <c r="E2" s="140"/>
      <c r="F2" s="140"/>
      <c r="G2" s="140"/>
      <c r="H2" s="140"/>
      <c r="I2" s="140"/>
      <c r="J2" s="140"/>
    </row>
    <row r="3" spans="1:10" ht="12.75">
      <c r="A3" s="104"/>
      <c r="B3" s="104"/>
      <c r="C3" s="104"/>
      <c r="D3" s="104"/>
      <c r="E3" s="104"/>
      <c r="F3" s="139" t="s">
        <v>93</v>
      </c>
      <c r="G3" s="139"/>
      <c r="H3" s="139"/>
      <c r="I3" s="139"/>
      <c r="J3" s="139"/>
    </row>
    <row r="4" spans="1:10" ht="12.75">
      <c r="A4" s="104"/>
      <c r="B4" s="105"/>
      <c r="C4" s="105"/>
      <c r="D4" s="105"/>
      <c r="E4" s="105"/>
      <c r="F4" s="105">
        <v>10</v>
      </c>
      <c r="G4" s="105">
        <v>15</v>
      </c>
      <c r="H4" s="105">
        <v>20</v>
      </c>
      <c r="I4" s="105">
        <v>23</v>
      </c>
      <c r="J4" s="105">
        <v>25</v>
      </c>
    </row>
    <row r="5" spans="1:10" ht="39.75" customHeight="1">
      <c r="A5" s="105" t="s">
        <v>99</v>
      </c>
      <c r="B5" s="105" t="s">
        <v>91</v>
      </c>
      <c r="C5" s="105" t="s">
        <v>92</v>
      </c>
      <c r="D5" s="105" t="s">
        <v>54</v>
      </c>
      <c r="E5" s="105" t="s">
        <v>55</v>
      </c>
      <c r="F5" s="107" t="s">
        <v>94</v>
      </c>
      <c r="G5" s="107" t="s">
        <v>95</v>
      </c>
      <c r="H5" s="107" t="s">
        <v>96</v>
      </c>
      <c r="I5" s="107" t="s">
        <v>97</v>
      </c>
      <c r="J5" s="107" t="s">
        <v>98</v>
      </c>
    </row>
    <row r="6" spans="1:10" ht="12.75">
      <c r="A6" s="106" t="s">
        <v>2</v>
      </c>
      <c r="B6" s="108">
        <f>VLOOKUP($A6,Lists!$A$15:$E$33,4)</f>
        <v>0.02</v>
      </c>
      <c r="C6" s="108">
        <f>VLOOKUP($A6,Lists!$A$15:$E$33,5)</f>
        <v>0.1</v>
      </c>
      <c r="D6" s="109">
        <f>VLOOKUP($A6,Lists!$A$15:$E$33,2)</f>
        <v>77</v>
      </c>
      <c r="E6" s="110">
        <f>VLOOKUP($A6,Lists!$A$15:$E$33,3)</f>
        <v>0.02</v>
      </c>
      <c r="F6" s="112">
        <f aca="true" t="shared" si="0" ref="F6:I21">ROUNDDOWN(100*F$4/(($B6*F$4+$C6)*($D6+$E6*100000)),2)</f>
        <v>1.6</v>
      </c>
      <c r="G6" s="112">
        <f t="shared" si="0"/>
        <v>1.8</v>
      </c>
      <c r="H6" s="112">
        <f t="shared" si="0"/>
        <v>1.92</v>
      </c>
      <c r="I6" s="112">
        <f t="shared" si="0"/>
        <v>1.97</v>
      </c>
      <c r="J6" s="112">
        <f>ROUNDDOWN(100*J$4/(($B6*J$4+$C6)*($D6+$E6*100000)),2)</f>
        <v>2</v>
      </c>
    </row>
    <row r="7" spans="1:10" ht="12.75">
      <c r="A7" s="106" t="s">
        <v>110</v>
      </c>
      <c r="B7" s="108">
        <f>VLOOKUP($A7,Lists!$A$15:$E$33,4)</f>
        <v>0.005</v>
      </c>
      <c r="C7" s="108">
        <f>VLOOKUP($A7,Lists!$A$15:$E$33,5)</f>
        <v>0.1</v>
      </c>
      <c r="D7" s="109">
        <f>VLOOKUP($A7,Lists!$A$15:$E$33,2)</f>
        <v>77</v>
      </c>
      <c r="E7" s="110">
        <f>VLOOKUP($A7,Lists!$A$15:$E$33,3)</f>
        <v>0.02</v>
      </c>
      <c r="F7" s="112">
        <f t="shared" si="0"/>
        <v>3.2</v>
      </c>
      <c r="G7" s="112">
        <f t="shared" si="0"/>
        <v>4.12</v>
      </c>
      <c r="H7" s="112">
        <f t="shared" si="0"/>
        <v>4.81</v>
      </c>
      <c r="I7" s="112">
        <f t="shared" si="0"/>
        <v>5.15</v>
      </c>
      <c r="J7" s="112">
        <f aca="true" t="shared" si="1" ref="J7:J21">ROUNDDOWN(100*J$4/(($B7*J$4+$C7)*($D7+$E7*100000)),2)</f>
        <v>5.34</v>
      </c>
    </row>
    <row r="8" spans="1:10" ht="12.75">
      <c r="A8" s="106" t="s">
        <v>115</v>
      </c>
      <c r="B8" s="108">
        <f>VLOOKUP($A8,Lists!$A$15:$E$33,4)</f>
        <v>0.02</v>
      </c>
      <c r="C8" s="108">
        <f>VLOOKUP($A8,Lists!$A$15:$E$33,5)</f>
        <v>0.1</v>
      </c>
      <c r="D8" s="109">
        <f>VLOOKUP($A8,Lists!$A$15:$E$33,2)</f>
        <v>5</v>
      </c>
      <c r="E8" s="110">
        <f>VLOOKUP($A8,Lists!$A$15:$E$33,3)</f>
        <v>0</v>
      </c>
      <c r="F8" s="114">
        <f t="shared" si="0"/>
        <v>666.66</v>
      </c>
      <c r="G8" s="114">
        <f t="shared" si="0"/>
        <v>750</v>
      </c>
      <c r="H8" s="114">
        <f t="shared" si="0"/>
        <v>800</v>
      </c>
      <c r="I8" s="114">
        <f t="shared" si="0"/>
        <v>821.42</v>
      </c>
      <c r="J8" s="114">
        <f t="shared" si="1"/>
        <v>833.33</v>
      </c>
    </row>
    <row r="9" spans="1:10" ht="12.75">
      <c r="A9" s="106" t="s">
        <v>100</v>
      </c>
      <c r="B9" s="108">
        <f>VLOOKUP($A9,Lists!$A$15:$E$33,4)</f>
        <v>0.02</v>
      </c>
      <c r="C9" s="108">
        <f>VLOOKUP($A9,Lists!$A$15:$E$33,5)</f>
        <v>0.1</v>
      </c>
      <c r="D9" s="109">
        <f>VLOOKUP($A9,Lists!$A$15:$E$33,2)</f>
        <v>4</v>
      </c>
      <c r="E9" s="110">
        <f>VLOOKUP($A9,Lists!$A$15:$E$33,3)</f>
        <v>0</v>
      </c>
      <c r="F9" s="114">
        <f t="shared" si="0"/>
        <v>833.33</v>
      </c>
      <c r="G9" s="114">
        <f t="shared" si="0"/>
        <v>937.5</v>
      </c>
      <c r="H9" s="114">
        <f t="shared" si="0"/>
        <v>1000</v>
      </c>
      <c r="I9" s="114">
        <f t="shared" si="0"/>
        <v>1026.78</v>
      </c>
      <c r="J9" s="114">
        <f t="shared" si="1"/>
        <v>1041.66</v>
      </c>
    </row>
    <row r="10" spans="1:10" ht="12.75">
      <c r="A10" s="106" t="s">
        <v>116</v>
      </c>
      <c r="B10" s="108">
        <f>VLOOKUP($A10,Lists!$A$15:$E$33,4)</f>
        <v>0.02</v>
      </c>
      <c r="C10" s="108">
        <f>VLOOKUP($A10,Lists!$A$15:$E$33,5)</f>
        <v>0.1</v>
      </c>
      <c r="D10" s="109">
        <f>VLOOKUP($A10,Lists!$A$15:$E$33,2)</f>
        <v>6</v>
      </c>
      <c r="E10" s="110">
        <f>VLOOKUP($A10,Lists!$A$15:$E$33,3)</f>
        <v>0</v>
      </c>
      <c r="F10" s="114">
        <f t="shared" si="0"/>
        <v>555.55</v>
      </c>
      <c r="G10" s="114">
        <f t="shared" si="0"/>
        <v>625</v>
      </c>
      <c r="H10" s="114">
        <f t="shared" si="0"/>
        <v>666.66</v>
      </c>
      <c r="I10" s="114">
        <f t="shared" si="0"/>
        <v>684.52</v>
      </c>
      <c r="J10" s="114">
        <f t="shared" si="1"/>
        <v>694.44</v>
      </c>
    </row>
    <row r="11" spans="1:10" ht="12.75">
      <c r="A11" s="106" t="s">
        <v>3</v>
      </c>
      <c r="B11" s="108">
        <f>VLOOKUP($A11,Lists!$A$15:$E$33,4)</f>
        <v>0.02</v>
      </c>
      <c r="C11" s="108">
        <f>VLOOKUP($A11,Lists!$A$15:$E$33,5)</f>
        <v>0.1</v>
      </c>
      <c r="D11" s="109">
        <f>VLOOKUP($A11,Lists!$A$15:$E$33,2)</f>
        <v>1430</v>
      </c>
      <c r="E11" s="110">
        <f>VLOOKUP($A11,Lists!$A$15:$E$33,3)</f>
        <v>0</v>
      </c>
      <c r="F11" s="112">
        <f t="shared" si="0"/>
        <v>2.33</v>
      </c>
      <c r="G11" s="112">
        <f t="shared" si="0"/>
        <v>2.62</v>
      </c>
      <c r="H11" s="112">
        <f t="shared" si="0"/>
        <v>2.79</v>
      </c>
      <c r="I11" s="112">
        <f t="shared" si="0"/>
        <v>2.87</v>
      </c>
      <c r="J11" s="112">
        <f t="shared" si="1"/>
        <v>2.91</v>
      </c>
    </row>
    <row r="12" spans="1:10" ht="12.75">
      <c r="A12" s="106" t="s">
        <v>1</v>
      </c>
      <c r="B12" s="108">
        <f>VLOOKUP($A12,Lists!$A$15:$E$33,4)</f>
        <v>0.02</v>
      </c>
      <c r="C12" s="108">
        <f>VLOOKUP($A12,Lists!$A$15:$E$33,5)</f>
        <v>0.1</v>
      </c>
      <c r="D12" s="109">
        <f>VLOOKUP($A12,Lists!$A$15:$E$33,2)</f>
        <v>1810</v>
      </c>
      <c r="E12" s="110">
        <f>VLOOKUP($A12,Lists!$A$15:$E$33,3)</f>
        <v>0.04</v>
      </c>
      <c r="F12" s="112">
        <f t="shared" si="0"/>
        <v>0.57</v>
      </c>
      <c r="G12" s="112">
        <f t="shared" si="0"/>
        <v>0.64</v>
      </c>
      <c r="H12" s="112">
        <f t="shared" si="0"/>
        <v>0.68</v>
      </c>
      <c r="I12" s="112">
        <f t="shared" si="0"/>
        <v>0.7</v>
      </c>
      <c r="J12" s="112">
        <f t="shared" si="1"/>
        <v>0.71</v>
      </c>
    </row>
    <row r="13" spans="1:10" ht="12.75">
      <c r="A13" s="106" t="s">
        <v>4</v>
      </c>
      <c r="B13" s="108">
        <f>VLOOKUP($A13,Lists!$A$15:$E$33,4)</f>
        <v>0.02</v>
      </c>
      <c r="C13" s="108">
        <f>VLOOKUP($A13,Lists!$A$15:$E$33,5)</f>
        <v>0.1</v>
      </c>
      <c r="D13" s="109">
        <f>VLOOKUP($A13,Lists!$A$15:$E$33,2)</f>
        <v>1030</v>
      </c>
      <c r="E13" s="110">
        <f>VLOOKUP($A13,Lists!$A$15:$E$33,3)</f>
        <v>0</v>
      </c>
      <c r="F13" s="112">
        <f t="shared" si="0"/>
        <v>3.23</v>
      </c>
      <c r="G13" s="112">
        <f t="shared" si="0"/>
        <v>3.64</v>
      </c>
      <c r="H13" s="112">
        <f t="shared" si="0"/>
        <v>3.88</v>
      </c>
      <c r="I13" s="112">
        <f t="shared" si="0"/>
        <v>3.98</v>
      </c>
      <c r="J13" s="112">
        <f t="shared" si="1"/>
        <v>4.04</v>
      </c>
    </row>
    <row r="14" spans="1:10" ht="12.75">
      <c r="A14" s="106" t="s">
        <v>87</v>
      </c>
      <c r="B14" s="108">
        <f>VLOOKUP($A14,Lists!$A$15:$E$33,4)</f>
        <v>0.02</v>
      </c>
      <c r="C14" s="108">
        <f>VLOOKUP($A14,Lists!$A$15:$E$33,5)</f>
        <v>0.1</v>
      </c>
      <c r="D14" s="109">
        <f>VLOOKUP($A14,Lists!$A$15:$E$33,2)</f>
        <v>675</v>
      </c>
      <c r="E14" s="110">
        <f>VLOOKUP($A14,Lists!$A$15:$E$33,3)</f>
        <v>0</v>
      </c>
      <c r="F14" s="112">
        <f t="shared" si="0"/>
        <v>4.93</v>
      </c>
      <c r="G14" s="112">
        <f t="shared" si="0"/>
        <v>5.55</v>
      </c>
      <c r="H14" s="112">
        <f t="shared" si="0"/>
        <v>5.92</v>
      </c>
      <c r="I14" s="112">
        <f t="shared" si="0"/>
        <v>6.08</v>
      </c>
      <c r="J14" s="112">
        <f t="shared" si="1"/>
        <v>6.17</v>
      </c>
    </row>
    <row r="15" spans="1:10" ht="12.75">
      <c r="A15" s="106" t="s">
        <v>72</v>
      </c>
      <c r="B15" s="108">
        <f>VLOOKUP($A15,Lists!$A$15:$E$33,4)</f>
        <v>0.02</v>
      </c>
      <c r="C15" s="108">
        <f>VLOOKUP($A15,Lists!$A$15:$E$33,5)</f>
        <v>0.1</v>
      </c>
      <c r="D15" s="109">
        <f>VLOOKUP($A15,Lists!$A$15:$E$33,2)</f>
        <v>3900</v>
      </c>
      <c r="E15" s="110">
        <f>VLOOKUP($A15,Lists!$A$15:$E$33,3)</f>
        <v>0</v>
      </c>
      <c r="F15" s="112">
        <f t="shared" si="0"/>
        <v>0.85</v>
      </c>
      <c r="G15" s="112">
        <f t="shared" si="0"/>
        <v>0.96</v>
      </c>
      <c r="H15" s="112">
        <f t="shared" si="0"/>
        <v>1.02</v>
      </c>
      <c r="I15" s="112">
        <f t="shared" si="0"/>
        <v>1.05</v>
      </c>
      <c r="J15" s="112">
        <f t="shared" si="1"/>
        <v>1.06</v>
      </c>
    </row>
    <row r="16" spans="1:10" ht="12.75">
      <c r="A16" s="106" t="s">
        <v>90</v>
      </c>
      <c r="B16" s="108">
        <f>VLOOKUP($A16,Lists!$A$15:$E$33,4)</f>
        <v>0.02</v>
      </c>
      <c r="C16" s="108">
        <f>VLOOKUP($A16,Lists!$A$15:$E$33,5)</f>
        <v>0.1</v>
      </c>
      <c r="D16" s="109">
        <f>VLOOKUP($A16,Lists!$A$15:$E$33,2)</f>
        <v>2100</v>
      </c>
      <c r="E16" s="110">
        <f>VLOOKUP($A16,Lists!$A$15:$E$33,3)</f>
        <v>0</v>
      </c>
      <c r="F16" s="112">
        <f t="shared" si="0"/>
        <v>1.58</v>
      </c>
      <c r="G16" s="112">
        <f t="shared" si="0"/>
        <v>1.78</v>
      </c>
      <c r="H16" s="112">
        <f t="shared" si="0"/>
        <v>1.9</v>
      </c>
      <c r="I16" s="112">
        <f t="shared" si="0"/>
        <v>1.95</v>
      </c>
      <c r="J16" s="112">
        <f t="shared" si="1"/>
        <v>1.98</v>
      </c>
    </row>
    <row r="17" spans="1:10" ht="12.75">
      <c r="A17" s="106" t="s">
        <v>113</v>
      </c>
      <c r="B17" s="108">
        <f>VLOOKUP($A17,Lists!$A$15:$E$33,4)</f>
        <v>0.02</v>
      </c>
      <c r="C17" s="108">
        <f>VLOOKUP($A17,Lists!$A$15:$E$33,5)</f>
        <v>0.1</v>
      </c>
      <c r="D17" s="109">
        <f>VLOOKUP($A17,Lists!$A$15:$E$33,2)</f>
        <v>1770</v>
      </c>
      <c r="E17" s="110">
        <f>VLOOKUP($A17,Lists!$A$15:$E$33,3)</f>
        <v>0</v>
      </c>
      <c r="F17" s="112">
        <f t="shared" si="0"/>
        <v>1.88</v>
      </c>
      <c r="G17" s="112">
        <f t="shared" si="0"/>
        <v>2.11</v>
      </c>
      <c r="H17" s="112">
        <f t="shared" si="0"/>
        <v>2.25</v>
      </c>
      <c r="I17" s="112">
        <f t="shared" si="0"/>
        <v>2.32</v>
      </c>
      <c r="J17" s="112">
        <f t="shared" si="1"/>
        <v>2.35</v>
      </c>
    </row>
    <row r="18" spans="1:10" ht="12.75">
      <c r="A18" s="106" t="s">
        <v>111</v>
      </c>
      <c r="B18" s="108">
        <f>VLOOKUP($A18,Lists!$A$15:$E$33,4)</f>
        <v>0.02</v>
      </c>
      <c r="C18" s="108">
        <f>VLOOKUP($A18,Lists!$A$15:$E$33,5)</f>
        <v>0.1</v>
      </c>
      <c r="D18" s="109">
        <f>VLOOKUP($A18,Lists!$A$15:$E$33,2)</f>
        <v>1820</v>
      </c>
      <c r="E18" s="110">
        <f>VLOOKUP($A18,Lists!$A$15:$E$33,3)</f>
        <v>0</v>
      </c>
      <c r="F18" s="112">
        <f t="shared" si="0"/>
        <v>1.83</v>
      </c>
      <c r="G18" s="112">
        <f t="shared" si="0"/>
        <v>2.06</v>
      </c>
      <c r="H18" s="112">
        <f t="shared" si="0"/>
        <v>2.19</v>
      </c>
      <c r="I18" s="112">
        <f t="shared" si="0"/>
        <v>2.25</v>
      </c>
      <c r="J18" s="112">
        <f t="shared" si="1"/>
        <v>2.28</v>
      </c>
    </row>
    <row r="19" spans="1:10" ht="12.75">
      <c r="A19" s="106" t="s">
        <v>112</v>
      </c>
      <c r="B19" s="108">
        <f>VLOOKUP($A19,Lists!$A$15:$E$33,4)</f>
        <v>0.02</v>
      </c>
      <c r="C19" s="108">
        <f>VLOOKUP($A19,Lists!$A$15:$E$33,5)</f>
        <v>0.1</v>
      </c>
      <c r="D19" s="109">
        <f>VLOOKUP($A19,Lists!$A$15:$E$33,2)</f>
        <v>2080</v>
      </c>
      <c r="E19" s="110">
        <f>VLOOKUP($A19,Lists!$A$15:$E$33,3)</f>
        <v>0</v>
      </c>
      <c r="F19" s="112">
        <f t="shared" si="0"/>
        <v>1.6</v>
      </c>
      <c r="G19" s="112">
        <f t="shared" si="0"/>
        <v>1.8</v>
      </c>
      <c r="H19" s="112">
        <f t="shared" si="0"/>
        <v>1.92</v>
      </c>
      <c r="I19" s="112">
        <f t="shared" si="0"/>
        <v>1.97</v>
      </c>
      <c r="J19" s="112">
        <f t="shared" si="1"/>
        <v>2</v>
      </c>
    </row>
    <row r="20" spans="1:10" ht="12.75">
      <c r="A20" s="106" t="s">
        <v>78</v>
      </c>
      <c r="B20" s="108">
        <f>VLOOKUP($A20,Lists!$A$15:$E$33,4)</f>
        <v>0.02</v>
      </c>
      <c r="C20" s="108">
        <f>VLOOKUP($A20,Lists!$A$15:$E$33,5)</f>
        <v>0.1</v>
      </c>
      <c r="D20" s="109">
        <f>VLOOKUP($A20,Lists!$A$15:$E$33,2)</f>
        <v>3240</v>
      </c>
      <c r="E20" s="110">
        <f>VLOOKUP($A20,Lists!$A$15:$E$33,3)</f>
        <v>0</v>
      </c>
      <c r="F20" s="112">
        <f t="shared" si="0"/>
        <v>1.02</v>
      </c>
      <c r="G20" s="112">
        <f t="shared" si="0"/>
        <v>1.15</v>
      </c>
      <c r="H20" s="112">
        <f t="shared" si="0"/>
        <v>1.23</v>
      </c>
      <c r="I20" s="112">
        <f t="shared" si="0"/>
        <v>1.26</v>
      </c>
      <c r="J20" s="112">
        <f t="shared" si="1"/>
        <v>1.28</v>
      </c>
    </row>
    <row r="21" spans="1:10" ht="12.75">
      <c r="A21" s="106" t="s">
        <v>73</v>
      </c>
      <c r="B21" s="108">
        <f>VLOOKUP($A21,Lists!$A$15:$E$33,4)</f>
        <v>0.02</v>
      </c>
      <c r="C21" s="108">
        <f>VLOOKUP($A21,Lists!$A$15:$E$33,5)</f>
        <v>0.1</v>
      </c>
      <c r="D21" s="109">
        <f>VLOOKUP($A21,Lists!$A$15:$E$33,2)</f>
        <v>4000</v>
      </c>
      <c r="E21" s="110">
        <f>VLOOKUP($A21,Lists!$A$15:$E$33,3)</f>
        <v>0</v>
      </c>
      <c r="F21" s="112">
        <f t="shared" si="0"/>
        <v>0.83</v>
      </c>
      <c r="G21" s="112">
        <f t="shared" si="0"/>
        <v>0.93</v>
      </c>
      <c r="H21" s="112">
        <f t="shared" si="0"/>
        <v>1</v>
      </c>
      <c r="I21" s="112">
        <f t="shared" si="0"/>
        <v>1.02</v>
      </c>
      <c r="J21" s="112">
        <f t="shared" si="1"/>
        <v>1.04</v>
      </c>
    </row>
    <row r="25" ht="12.75">
      <c r="A25" s="111"/>
    </row>
  </sheetData>
  <sheetProtection password="E9F9" sheet="1"/>
  <mergeCells count="3">
    <mergeCell ref="F3:J3"/>
    <mergeCell ref="A2:J2"/>
    <mergeCell ref="A1:D1"/>
  </mergeCells>
  <dataValidations count="1">
    <dataValidation type="list" allowBlank="1" showInputMessage="1" showErrorMessage="1" sqref="A6:A21">
      <formula1>Refrigerants</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Schwedler</dc:creator>
  <cp:keywords/>
  <dc:description/>
  <cp:lastModifiedBy>MCAS</cp:lastModifiedBy>
  <cp:lastPrinted>2013-11-12T14:20:56Z</cp:lastPrinted>
  <dcterms:created xsi:type="dcterms:W3CDTF">2005-01-20T13:22:24Z</dcterms:created>
  <dcterms:modified xsi:type="dcterms:W3CDTF">2014-04-28T15:44:37Z</dcterms:modified>
  <cp:category/>
  <cp:version/>
  <cp:contentType/>
  <cp:contentStatus/>
</cp:coreProperties>
</file>